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1472" windowHeight="7488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Лист1!$A$1:$F$37</definedName>
    <definedName name="_xlnm.Print_Area" localSheetId="1">Лист2!$A$1:$G$36</definedName>
    <definedName name="_xlnm.Print_Area" localSheetId="2">Лист3!$A$1:$E$40</definedName>
  </definedNames>
  <calcPr calcId="144525" refMode="R1C1"/>
</workbook>
</file>

<file path=xl/calcChain.xml><?xml version="1.0" encoding="utf-8"?>
<calcChain xmlns="http://schemas.openxmlformats.org/spreadsheetml/2006/main">
  <c r="E8" i="2" l="1"/>
  <c r="E10" i="2"/>
  <c r="C11" i="2"/>
  <c r="E11" i="2"/>
  <c r="E12" i="2"/>
  <c r="E13" i="2"/>
  <c r="E15" i="2"/>
  <c r="D15" i="2" s="1"/>
  <c r="D7" i="2"/>
  <c r="D23" i="1"/>
  <c r="E32" i="2" l="1"/>
  <c r="E31" i="2"/>
  <c r="E30" i="2"/>
  <c r="E29" i="2"/>
  <c r="E31" i="1"/>
  <c r="D9" i="2"/>
  <c r="D10" i="2"/>
  <c r="D11" i="2"/>
  <c r="D12" i="2"/>
  <c r="D16" i="2"/>
  <c r="D13" i="2"/>
  <c r="D8" i="2"/>
  <c r="E14" i="2" l="1"/>
  <c r="D14" i="2" s="1"/>
  <c r="B30" i="2" l="1"/>
  <c r="B31" i="2"/>
  <c r="B32" i="2"/>
  <c r="B33" i="2"/>
  <c r="B29" i="2"/>
  <c r="F21" i="1"/>
  <c r="F23" i="1"/>
  <c r="E22" i="1"/>
  <c r="C23" i="1"/>
  <c r="B32" i="3"/>
  <c r="B25" i="3"/>
  <c r="B26" i="3"/>
  <c r="C26" i="3"/>
  <c r="B12" i="3"/>
  <c r="F11" i="1"/>
  <c r="C11" i="1"/>
  <c r="E23" i="1" l="1"/>
  <c r="C32" i="1"/>
  <c r="C31" i="1"/>
  <c r="F31" i="1" l="1"/>
  <c r="E32" i="1"/>
  <c r="F32" i="1"/>
  <c r="F29" i="2"/>
  <c r="G29" i="2"/>
  <c r="D11" i="1"/>
  <c r="D23" i="3" l="1"/>
  <c r="G8" i="2"/>
  <c r="G10" i="2"/>
  <c r="G11" i="2"/>
  <c r="G12" i="2"/>
  <c r="G13" i="2"/>
  <c r="G15" i="2"/>
  <c r="E11" i="1"/>
  <c r="C8" i="1"/>
  <c r="C10" i="1" s="1"/>
  <c r="B34" i="2" l="1"/>
  <c r="C34" i="2"/>
  <c r="D34" i="2"/>
  <c r="E34" i="2" l="1"/>
  <c r="B8" i="2"/>
  <c r="B9" i="2"/>
  <c r="B10" i="2"/>
  <c r="B11" i="2"/>
  <c r="B12" i="2"/>
  <c r="B13" i="2"/>
  <c r="B15" i="2"/>
  <c r="E23" i="3" l="1"/>
  <c r="D5" i="3"/>
  <c r="C32" i="3" l="1"/>
  <c r="D32" i="3" l="1"/>
  <c r="B35" i="3"/>
  <c r="B37" i="3" s="1"/>
  <c r="F9" i="1"/>
  <c r="F8" i="1"/>
  <c r="C7" i="2" l="1"/>
  <c r="C14" i="2"/>
  <c r="G14" i="2" l="1"/>
  <c r="B14" i="2"/>
  <c r="G7" i="2"/>
  <c r="B7" i="2"/>
  <c r="C35" i="3"/>
  <c r="C12" i="3" l="1"/>
  <c r="E12" i="3" s="1"/>
  <c r="C37" i="3"/>
  <c r="C16" i="2" l="1"/>
  <c r="B16" i="2" s="1"/>
  <c r="E24" i="3"/>
  <c r="D24" i="3"/>
  <c r="C25" i="3"/>
  <c r="B17" i="2" l="1"/>
  <c r="C17" i="2"/>
  <c r="E8" i="1"/>
  <c r="E6" i="3" l="1"/>
  <c r="E7" i="3"/>
  <c r="E8" i="3"/>
  <c r="E9" i="3"/>
  <c r="E10" i="3"/>
  <c r="E5" i="3"/>
  <c r="E11" i="3"/>
  <c r="F10" i="2"/>
  <c r="F11" i="2"/>
  <c r="F12" i="2"/>
  <c r="F13" i="2"/>
  <c r="F14" i="2"/>
  <c r="F15" i="2"/>
  <c r="G32" i="2"/>
  <c r="G30" i="2"/>
  <c r="E21" i="1"/>
  <c r="F10" i="1"/>
  <c r="E10" i="1"/>
  <c r="E9" i="1"/>
  <c r="D26" i="3" l="1"/>
  <c r="E26" i="3"/>
  <c r="D28" i="3"/>
  <c r="E28" i="3"/>
  <c r="D29" i="3"/>
  <c r="E29" i="3"/>
  <c r="D30" i="3"/>
  <c r="E30" i="3"/>
  <c r="D31" i="3"/>
  <c r="D33" i="3"/>
  <c r="D34" i="3"/>
  <c r="D36" i="3"/>
  <c r="E25" i="3"/>
  <c r="D25" i="3"/>
  <c r="D6" i="3" l="1"/>
  <c r="D7" i="3"/>
  <c r="D8" i="3"/>
  <c r="D9" i="3"/>
  <c r="D10" i="3"/>
  <c r="D11" i="3"/>
  <c r="D12" i="3" l="1"/>
  <c r="F32" i="2" l="1"/>
  <c r="G33" i="2"/>
  <c r="F30" i="2" l="1"/>
  <c r="F33" i="2"/>
  <c r="F31" i="2"/>
  <c r="F34" i="2" s="1"/>
  <c r="G31" i="2"/>
  <c r="F8" i="2" l="1"/>
  <c r="G34" i="2"/>
  <c r="D35" i="3" l="1"/>
  <c r="D37" i="3" l="1"/>
  <c r="F7" i="2"/>
  <c r="F9" i="2" l="1"/>
  <c r="G16" i="2"/>
  <c r="F16" i="2"/>
  <c r="D17" i="2"/>
  <c r="E17" i="2"/>
  <c r="G17" i="2" l="1"/>
  <c r="F17" i="2"/>
</calcChain>
</file>

<file path=xl/sharedStrings.xml><?xml version="1.0" encoding="utf-8"?>
<sst xmlns="http://schemas.openxmlformats.org/spreadsheetml/2006/main" count="132" uniqueCount="80">
  <si>
    <t>%</t>
  </si>
  <si>
    <t>Режа</t>
  </si>
  <si>
    <t>Амалда</t>
  </si>
  <si>
    <t>(+   -)</t>
  </si>
  <si>
    <t>2. Хисоб китобларни бажариш</t>
  </si>
  <si>
    <t>2.1 Ун ишлаб чикариш</t>
  </si>
  <si>
    <t>Харажатлар номи</t>
  </si>
  <si>
    <t xml:space="preserve"> 1 тн учун (сум)</t>
  </si>
  <si>
    <t xml:space="preserve">Электро энергия </t>
  </si>
  <si>
    <t>Сув</t>
  </si>
  <si>
    <t>Асосий воситаларнинг амортизацияси</t>
  </si>
  <si>
    <t>Электроэнергия</t>
  </si>
  <si>
    <t>Амортизация</t>
  </si>
  <si>
    <t>Бизнес – режа</t>
  </si>
  <si>
    <t xml:space="preserve">Харажатлар номи </t>
  </si>
  <si>
    <t>Махсулотларни сотишнинг ялпи фойдаси</t>
  </si>
  <si>
    <t>Давр харажатлари, жами</t>
  </si>
  <si>
    <t>Сотиш харажатлари</t>
  </si>
  <si>
    <t>Маъмурий харажатлар</t>
  </si>
  <si>
    <t>Асосий фаолиятнинг фойдаси</t>
  </si>
  <si>
    <t xml:space="preserve">Молиявий фаолиятнинг  даромадлари </t>
  </si>
  <si>
    <t>Соф фойда</t>
  </si>
  <si>
    <t>шу жумладан</t>
  </si>
  <si>
    <t>Асосий фойданинг бошка даромадлари</t>
  </si>
  <si>
    <t xml:space="preserve">Хом-ашё ва материаллар </t>
  </si>
  <si>
    <t>( +   -)</t>
  </si>
  <si>
    <t>Жами (минг сумда)</t>
  </si>
  <si>
    <t xml:space="preserve">Махсулот (товар, иш, хизмат) ларни сотишдан соф тушум </t>
  </si>
  <si>
    <t>Бошқа харажатлар (17счет)</t>
  </si>
  <si>
    <t>Жами                     (минг сумда)</t>
  </si>
  <si>
    <t xml:space="preserve">Материал ва инвентарлар </t>
  </si>
  <si>
    <t>1. Ишлаб чиқариш кўрсаткичларини бажарилиши</t>
  </si>
  <si>
    <t>1.1 Тегирмон бўйича</t>
  </si>
  <si>
    <t>Махсулот номи</t>
  </si>
  <si>
    <t>ўлчов бирлиги</t>
  </si>
  <si>
    <t>Фарқи</t>
  </si>
  <si>
    <t>Донни  қайта ишлаш</t>
  </si>
  <si>
    <t>Буғдой кепаги</t>
  </si>
  <si>
    <t>Жорий нархларда махсулот ишлаб чиқариш</t>
  </si>
  <si>
    <t>тонна</t>
  </si>
  <si>
    <t>минг сўмда</t>
  </si>
  <si>
    <t>Омухта-ем аралашмаси ишлаб чиқариш хажми</t>
  </si>
  <si>
    <t>Жорий нархларда товарлар ишлаб чиқариш</t>
  </si>
  <si>
    <t>1.3 Давал хом-ашёдан махсулот ишлаб чиқариш</t>
  </si>
  <si>
    <t>1.2 Омухта ем цехи бўйича</t>
  </si>
  <si>
    <t>Хизмат автомашиналарини сақлаш харажатлари</t>
  </si>
  <si>
    <t xml:space="preserve">  2.3  Маъмурий бошқарув ходимларига кетган харажатлар.</t>
  </si>
  <si>
    <t>Мехнатга хақ тўлаш билан боғлиқ харажатлар</t>
  </si>
  <si>
    <t>Ягона ижтимоий тўлов</t>
  </si>
  <si>
    <t>Уяли алоқа, интернет хизматлари</t>
  </si>
  <si>
    <t>Электр энергия. газ, сув,</t>
  </si>
  <si>
    <t>Бошқа харажатлар</t>
  </si>
  <si>
    <t>Жами:</t>
  </si>
  <si>
    <t>3.Молиявий натижалар (Форма-2) режасини амалга ошириш</t>
  </si>
  <si>
    <t>Сотилган махсулот (товар, иш, хизмат) ларнинг    таннархи</t>
  </si>
  <si>
    <t>Бошқа операцион харажатлар</t>
  </si>
  <si>
    <t>Молиявий фаолият бўйича харажатлар</t>
  </si>
  <si>
    <t>Фойда солиғини тўлагунга қадар фойда</t>
  </si>
  <si>
    <t>Фойда солиғи</t>
  </si>
  <si>
    <t>Бизнес – режа бўйича</t>
  </si>
  <si>
    <t>Калькуляция қилинадиган махсулотлар хажми</t>
  </si>
  <si>
    <t>Қадоқлаш харажатлари</t>
  </si>
  <si>
    <t>Ташқи ташкилотлар фаолияти ва хизматлари</t>
  </si>
  <si>
    <t>Ёқилғи</t>
  </si>
  <si>
    <t>Мехнатга хақ тўлаш</t>
  </si>
  <si>
    <t>Жами ишлаб чиқариш қиймати</t>
  </si>
  <si>
    <t>2. 2 Омухта ем ишлаб чиқариш</t>
  </si>
  <si>
    <t>Ишлаб чиқариш харажатларини тахлил килиш</t>
  </si>
  <si>
    <t>Жами ишлаб чиқариш харажатлари</t>
  </si>
  <si>
    <t>«G'alla-Alteg»  АЖда 2025 йил  II-чорак якуни бўйича «Бизнес – режа » тахлили</t>
  </si>
  <si>
    <t>Жами ишлаб чиқарилган Ун махсулот</t>
  </si>
  <si>
    <t xml:space="preserve">            Харажатлар сметаси режага нисбатан 31 %  ошиқча сарфланди.</t>
  </si>
  <si>
    <t xml:space="preserve">           Молиявий натижа   -247333  минг. сўм зарар билан якунланди. Бизнес режа кўрсаткичларини амалда бажарилмаслигини асосий сабабларидан бири тегирмон тўлиқ қувватда ишламаётгани билан боғлиқ.  </t>
  </si>
  <si>
    <t>Кепак махсулот</t>
  </si>
  <si>
    <t xml:space="preserve">  Ун махсулоти ишлаб чиқариш харажатлари режага нисбатан   5,6% ошиқча харажатларни ташкил қилди. Сарф харажатлар  юқорилиги буғдой дон махсулоти нархи  биржа савдоларида   ошиб кетиши сабабли</t>
  </si>
  <si>
    <t xml:space="preserve">            Омухта ем  махсулоти ишлаб чиқариш харажатлари режага нисбатан    159,2 %ни ташкил қилди, cарф харажатлар ошиб кетиши сабаби   ишлаб чиқариш қувватидан тўлиқ фойдаланиш  21,5%ни ташкил қилганлиги билан боғлиқ.</t>
  </si>
  <si>
    <t xml:space="preserve">      Амалда ишлаб чиқариш хажми "Бизнес - режа" бўйича белгиланган топшириқга нисбатан  19,2%га  бажарилди.</t>
  </si>
  <si>
    <t xml:space="preserve">      Амалда ишлаб чиқариш хажми "Бизнес - режа" бўйича белгиланган топшириқга нисбатан  12,8%га  бажарилди.</t>
  </si>
  <si>
    <t xml:space="preserve">      Амалда ишлаб чиқариш хажми "Бизнес - режа" бўйича белгиланган топшириқга нисбатан  94%га  бажарилди.</t>
  </si>
  <si>
    <t xml:space="preserve">          Изох: Юқоридаги жадвалда кетлирилган маълумотларга тўхталадиган бўлинса махсулот ишлаб чиқариш режаси амалда паст кўрсаткичларда бажарилишининг асосий сабаби жамиятда давал хом ашёдан махсулот ишлаб чиқариш хизмати   орқали фаолият юритмоқда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</si>
</sst>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.0"/>
    <numFmt numFmtId="165" formatCode="#,##0.0"/>
    <numFmt numFmtId="166" formatCode="0.000"/>
    <numFmt numFmtId="167" formatCode="#,##0.000"/>
    <numFmt numFmtId="168" formatCode="#,##0.0000"/>
    <numFmt numFmtId="169" formatCode="0.0000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8"/>
      <name val="Arial"/>
      <family val="2"/>
    </font>
    <font>
      <sz val="11"/>
      <color indexed="8"/>
      <name val="Arial"/>
      <family val="2"/>
      <charset val="204"/>
    </font>
    <font>
      <sz val="11"/>
      <color theme="0"/>
      <name val="Arial"/>
      <family val="2"/>
      <charset val="204"/>
    </font>
    <font>
      <sz val="12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i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7" fillId="0" borderId="0"/>
    <xf numFmtId="43" fontId="1" fillId="0" borderId="0" applyFont="0" applyFill="0" applyBorder="0" applyAlignment="0" applyProtection="0"/>
    <xf numFmtId="0" fontId="10" fillId="0" borderId="0"/>
  </cellStyleXfs>
  <cellXfs count="113">
    <xf numFmtId="0" fontId="0" fillId="0" borderId="0" xfId="0"/>
    <xf numFmtId="0" fontId="8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/>
    <xf numFmtId="0" fontId="8" fillId="0" borderId="0" xfId="0" applyFont="1" applyFill="1" applyBorder="1"/>
    <xf numFmtId="4" fontId="8" fillId="0" borderId="0" xfId="0" applyNumberFormat="1" applyFont="1" applyFill="1" applyBorder="1"/>
    <xf numFmtId="3" fontId="5" fillId="0" borderId="1" xfId="1" applyNumberFormat="1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3" fontId="4" fillId="0" borderId="1" xfId="1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3" fontId="4" fillId="0" borderId="0" xfId="1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9" fillId="0" borderId="0" xfId="0" applyFont="1" applyFill="1"/>
    <xf numFmtId="0" fontId="8" fillId="0" borderId="1" xfId="0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left" vertical="top" wrapText="1"/>
    </xf>
    <xf numFmtId="0" fontId="6" fillId="0" borderId="0" xfId="0" applyFont="1" applyFill="1"/>
    <xf numFmtId="3" fontId="6" fillId="0" borderId="3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left" vertical="center" wrapText="1"/>
    </xf>
    <xf numFmtId="43" fontId="8" fillId="0" borderId="0" xfId="4" applyFont="1" applyFill="1"/>
    <xf numFmtId="4" fontId="8" fillId="0" borderId="0" xfId="0" applyNumberFormat="1" applyFont="1" applyFill="1"/>
    <xf numFmtId="0" fontId="4" fillId="0" borderId="1" xfId="0" applyFont="1" applyFill="1" applyBorder="1" applyAlignment="1">
      <alignment horizontal="center" vertical="center" wrapText="1"/>
    </xf>
    <xf numFmtId="1" fontId="11" fillId="0" borderId="1" xfId="4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/>
    <xf numFmtId="1" fontId="4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/>
    <xf numFmtId="0" fontId="5" fillId="0" borderId="0" xfId="0" applyFont="1" applyFill="1" applyAlignment="1">
      <alignment vertical="center" wrapText="1"/>
    </xf>
    <xf numFmtId="3" fontId="5" fillId="0" borderId="0" xfId="0" applyNumberFormat="1" applyFont="1" applyFill="1" applyAlignment="1">
      <alignment vertical="center" wrapText="1"/>
    </xf>
    <xf numFmtId="1" fontId="5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" fontId="5" fillId="0" borderId="12" xfId="5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3" fontId="6" fillId="0" borderId="0" xfId="0" applyNumberFormat="1" applyFont="1" applyFill="1" applyBorder="1"/>
    <xf numFmtId="0" fontId="6" fillId="0" borderId="0" xfId="0" applyFont="1" applyFill="1" applyBorder="1"/>
    <xf numFmtId="1" fontId="6" fillId="0" borderId="0" xfId="0" applyNumberFormat="1" applyFont="1" applyFill="1" applyBorder="1"/>
    <xf numFmtId="168" fontId="6" fillId="0" borderId="0" xfId="0" applyNumberFormat="1" applyFont="1" applyFill="1" applyBorder="1"/>
    <xf numFmtId="169" fontId="6" fillId="0" borderId="0" xfId="0" applyNumberFormat="1" applyFont="1" applyFill="1" applyBorder="1"/>
    <xf numFmtId="0" fontId="13" fillId="0" borderId="0" xfId="0" applyFont="1" applyFill="1"/>
    <xf numFmtId="0" fontId="13" fillId="0" borderId="0" xfId="0" applyFont="1" applyFill="1" applyAlignment="1">
      <alignment horizontal="justify"/>
    </xf>
    <xf numFmtId="166" fontId="13" fillId="0" borderId="0" xfId="0" applyNumberFormat="1" applyFont="1" applyFill="1"/>
    <xf numFmtId="0" fontId="4" fillId="0" borderId="1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3" fontId="5" fillId="0" borderId="6" xfId="1" applyNumberFormat="1" applyFont="1" applyFill="1" applyBorder="1" applyAlignment="1">
      <alignment horizontal="center" vertical="center" wrapText="1"/>
    </xf>
    <xf numFmtId="3" fontId="5" fillId="0" borderId="4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7" fontId="8" fillId="0" borderId="0" xfId="0" applyNumberFormat="1" applyFont="1" applyFill="1" applyBorder="1"/>
    <xf numFmtId="0" fontId="14" fillId="0" borderId="0" xfId="0" applyFont="1" applyFill="1" applyAlignment="1">
      <alignment horizontal="left" vertical="center" wrapText="1"/>
    </xf>
    <xf numFmtId="3" fontId="3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/>
    </xf>
    <xf numFmtId="0" fontId="5" fillId="0" borderId="0" xfId="0" applyFont="1" applyFill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Fill="1" applyBorder="1" applyAlignment="1">
      <alignment horizontal="center" vertical="center" wrapText="1"/>
    </xf>
    <xf numFmtId="167" fontId="5" fillId="0" borderId="12" xfId="5" applyNumberFormat="1" applyFont="1" applyFill="1" applyBorder="1" applyAlignment="1">
      <alignment horizontal="right" vertical="top" wrapText="1"/>
    </xf>
    <xf numFmtId="3" fontId="5" fillId="0" borderId="2" xfId="1" applyNumberFormat="1" applyFont="1" applyFill="1" applyBorder="1" applyAlignment="1">
      <alignment horizontal="center" vertical="center" wrapText="1"/>
    </xf>
    <xf numFmtId="3" fontId="5" fillId="0" borderId="3" xfId="1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/>
    </xf>
  </cellXfs>
  <cellStyles count="6">
    <cellStyle name="Обычный" xfId="0" builtinId="0"/>
    <cellStyle name="Обычный 2" xfId="2"/>
    <cellStyle name="Обычный 3" xfId="1"/>
    <cellStyle name="Обычный 47 2" xfId="3"/>
    <cellStyle name="Обычный_Лист2" xfId="5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topLeftCell="A25" zoomScaleNormal="100" zoomScaleSheetLayoutView="80" workbookViewId="0">
      <selection activeCell="C8" sqref="C8:F11"/>
    </sheetView>
  </sheetViews>
  <sheetFormatPr defaultColWidth="9.109375" defaultRowHeight="15" x14ac:dyDescent="0.25"/>
  <cols>
    <col min="1" max="1" width="34.33203125" style="65" customWidth="1"/>
    <col min="2" max="2" width="11.5546875" style="65" customWidth="1"/>
    <col min="3" max="3" width="16.77734375" style="65" bestFit="1" customWidth="1"/>
    <col min="4" max="4" width="16.6640625" style="65" customWidth="1"/>
    <col min="5" max="5" width="17.6640625" style="65" bestFit="1" customWidth="1"/>
    <col min="6" max="6" width="10.33203125" style="65" customWidth="1"/>
    <col min="7" max="7" width="9.109375" style="65"/>
    <col min="8" max="8" width="10.109375" style="65" bestFit="1" customWidth="1"/>
    <col min="9" max="9" width="9.109375" style="65"/>
    <col min="10" max="10" width="10.109375" style="65" bestFit="1" customWidth="1"/>
    <col min="11" max="16384" width="9.109375" style="65"/>
  </cols>
  <sheetData>
    <row r="1" spans="1:8" ht="15.6" x14ac:dyDescent="0.3">
      <c r="A1" s="78" t="s">
        <v>69</v>
      </c>
      <c r="B1" s="78"/>
      <c r="C1" s="78"/>
      <c r="D1" s="78"/>
      <c r="E1" s="78"/>
      <c r="F1" s="78"/>
    </row>
    <row r="2" spans="1:8" ht="15.6" x14ac:dyDescent="0.3">
      <c r="A2" s="78" t="s">
        <v>31</v>
      </c>
      <c r="B2" s="78"/>
      <c r="C2" s="78"/>
      <c r="D2" s="78"/>
      <c r="E2" s="78"/>
      <c r="F2" s="78"/>
    </row>
    <row r="3" spans="1:8" ht="15.6" x14ac:dyDescent="0.3">
      <c r="A3" s="78" t="s">
        <v>32</v>
      </c>
      <c r="B3" s="78"/>
      <c r="C3" s="78"/>
      <c r="D3" s="78"/>
      <c r="E3" s="78"/>
      <c r="F3" s="78"/>
    </row>
    <row r="4" spans="1:8" ht="15.6" x14ac:dyDescent="0.3">
      <c r="A4" s="78"/>
      <c r="B4" s="78"/>
      <c r="C4" s="78"/>
      <c r="D4" s="78"/>
      <c r="E4" s="78"/>
      <c r="F4" s="78"/>
    </row>
    <row r="5" spans="1:8" x14ac:dyDescent="0.25">
      <c r="A5" s="84"/>
      <c r="B5" s="84"/>
      <c r="C5" s="84"/>
      <c r="D5" s="84"/>
      <c r="E5" s="84"/>
      <c r="F5" s="84"/>
    </row>
    <row r="6" spans="1:8" ht="20.25" customHeight="1" x14ac:dyDescent="0.25">
      <c r="A6" s="82" t="s">
        <v>33</v>
      </c>
      <c r="B6" s="82" t="s">
        <v>34</v>
      </c>
      <c r="C6" s="82" t="s">
        <v>1</v>
      </c>
      <c r="D6" s="82" t="s">
        <v>2</v>
      </c>
      <c r="E6" s="79" t="s">
        <v>35</v>
      </c>
      <c r="F6" s="80"/>
    </row>
    <row r="7" spans="1:8" ht="20.25" customHeight="1" x14ac:dyDescent="0.25">
      <c r="A7" s="83"/>
      <c r="B7" s="83"/>
      <c r="C7" s="83"/>
      <c r="D7" s="83"/>
      <c r="E7" s="56" t="s">
        <v>3</v>
      </c>
      <c r="F7" s="56" t="s">
        <v>0</v>
      </c>
    </row>
    <row r="8" spans="1:8" ht="39.6" customHeight="1" x14ac:dyDescent="0.25">
      <c r="A8" s="57" t="s">
        <v>36</v>
      </c>
      <c r="B8" s="29" t="s">
        <v>39</v>
      </c>
      <c r="C8" s="30">
        <f>C9*1.33</f>
        <v>13300</v>
      </c>
      <c r="D8" s="31">
        <v>2556.3000000000002</v>
      </c>
      <c r="E8" s="30">
        <f>D8-C8</f>
        <v>-10743.7</v>
      </c>
      <c r="F8" s="37">
        <f>D8/C8*100</f>
        <v>19.220300751879702</v>
      </c>
    </row>
    <row r="9" spans="1:8" ht="39.6" customHeight="1" x14ac:dyDescent="0.25">
      <c r="A9" s="58" t="s">
        <v>70</v>
      </c>
      <c r="B9" s="29" t="s">
        <v>39</v>
      </c>
      <c r="C9" s="32">
        <v>10000</v>
      </c>
      <c r="D9" s="38">
        <v>1915</v>
      </c>
      <c r="E9" s="32">
        <f>D9-C9</f>
        <v>-8085</v>
      </c>
      <c r="F9" s="104">
        <f>D9/C9*100</f>
        <v>19.149999999999999</v>
      </c>
    </row>
    <row r="10" spans="1:8" ht="39.6" customHeight="1" x14ac:dyDescent="0.25">
      <c r="A10" s="57" t="s">
        <v>37</v>
      </c>
      <c r="B10" s="29" t="s">
        <v>39</v>
      </c>
      <c r="C10" s="30">
        <f>C8*0.21</f>
        <v>2793</v>
      </c>
      <c r="D10" s="105">
        <v>600.78</v>
      </c>
      <c r="E10" s="30">
        <f>D10-C10</f>
        <v>-2192.2200000000003</v>
      </c>
      <c r="F10" s="37">
        <f>D10/C10*100</f>
        <v>21.510204081632654</v>
      </c>
    </row>
    <row r="11" spans="1:8" ht="39.6" customHeight="1" x14ac:dyDescent="0.25">
      <c r="A11" s="59" t="s">
        <v>38</v>
      </c>
      <c r="B11" s="33" t="s">
        <v>40</v>
      </c>
      <c r="C11" s="30">
        <f>((3600/1.12*5000)+(1800/1.12*1397))*2</f>
        <v>36633214.285714284</v>
      </c>
      <c r="D11" s="30">
        <f>(3600/1.12*1542.8)+(1200/1.12*484.6)</f>
        <v>5478214.2857142845</v>
      </c>
      <c r="E11" s="30">
        <f>D11-C11</f>
        <v>-31155000</v>
      </c>
      <c r="F11" s="37">
        <f>D11/C11*100</f>
        <v>14.954227720745223</v>
      </c>
    </row>
    <row r="12" spans="1:8" x14ac:dyDescent="0.25">
      <c r="A12" s="60"/>
      <c r="B12" s="61"/>
      <c r="C12" s="61"/>
      <c r="D12" s="62"/>
      <c r="E12" s="61"/>
      <c r="F12" s="61"/>
    </row>
    <row r="13" spans="1:8" ht="37.5" customHeight="1" x14ac:dyDescent="0.25">
      <c r="A13" s="77" t="s">
        <v>76</v>
      </c>
      <c r="B13" s="77"/>
      <c r="C13" s="77"/>
      <c r="D13" s="77"/>
      <c r="E13" s="77"/>
      <c r="F13" s="77"/>
    </row>
    <row r="14" spans="1:8" ht="15.6" x14ac:dyDescent="0.25">
      <c r="A14" s="69"/>
      <c r="B14" s="69"/>
      <c r="C14" s="69"/>
      <c r="D14" s="69"/>
      <c r="E14" s="69"/>
      <c r="F14" s="69"/>
      <c r="H14" s="66"/>
    </row>
    <row r="15" spans="1:8" ht="15.6" x14ac:dyDescent="0.25">
      <c r="A15" s="69"/>
      <c r="B15" s="69"/>
      <c r="D15" s="69"/>
      <c r="E15" s="69"/>
      <c r="F15" s="69"/>
    </row>
    <row r="16" spans="1:8" x14ac:dyDescent="0.25">
      <c r="A16" s="34"/>
      <c r="B16" s="34"/>
      <c r="C16" s="34"/>
      <c r="D16" s="34"/>
      <c r="E16" s="34"/>
      <c r="F16" s="34"/>
    </row>
    <row r="17" spans="1:6" ht="15.6" x14ac:dyDescent="0.3">
      <c r="A17" s="78" t="s">
        <v>44</v>
      </c>
      <c r="B17" s="78"/>
      <c r="C17" s="78"/>
      <c r="D17" s="78"/>
      <c r="E17" s="78"/>
      <c r="F17" s="78"/>
    </row>
    <row r="18" spans="1:6" x14ac:dyDescent="0.25">
      <c r="A18" s="35"/>
      <c r="B18" s="35"/>
      <c r="C18" s="35"/>
      <c r="D18" s="35"/>
      <c r="E18" s="35"/>
      <c r="F18" s="35"/>
    </row>
    <row r="19" spans="1:6" ht="18.75" customHeight="1" x14ac:dyDescent="0.25">
      <c r="A19" s="82" t="s">
        <v>33</v>
      </c>
      <c r="B19" s="82" t="s">
        <v>34</v>
      </c>
      <c r="C19" s="82" t="s">
        <v>1</v>
      </c>
      <c r="D19" s="82" t="s">
        <v>2</v>
      </c>
      <c r="E19" s="79" t="s">
        <v>35</v>
      </c>
      <c r="F19" s="80"/>
    </row>
    <row r="20" spans="1:6" ht="18.75" customHeight="1" x14ac:dyDescent="0.25">
      <c r="A20" s="83"/>
      <c r="B20" s="83"/>
      <c r="C20" s="83"/>
      <c r="D20" s="83"/>
      <c r="E20" s="56" t="s">
        <v>3</v>
      </c>
      <c r="F20" s="56" t="s">
        <v>0</v>
      </c>
    </row>
    <row r="21" spans="1:6" ht="39" customHeight="1" x14ac:dyDescent="0.25">
      <c r="A21" s="59" t="s">
        <v>41</v>
      </c>
      <c r="B21" s="33" t="s">
        <v>39</v>
      </c>
      <c r="C21" s="30">
        <v>2800</v>
      </c>
      <c r="D21" s="36">
        <v>0</v>
      </c>
      <c r="E21" s="30">
        <f>D21-C21</f>
        <v>-2800</v>
      </c>
      <c r="F21" s="31">
        <f>D21/C21*100</f>
        <v>0</v>
      </c>
    </row>
    <row r="22" spans="1:6" ht="39" customHeight="1" x14ac:dyDescent="0.25">
      <c r="A22" s="59" t="s">
        <v>73</v>
      </c>
      <c r="B22" s="33" t="s">
        <v>39</v>
      </c>
      <c r="C22" s="36">
        <v>0</v>
      </c>
      <c r="D22" s="36">
        <v>600.78</v>
      </c>
      <c r="E22" s="30">
        <f>D22-C22</f>
        <v>600.78</v>
      </c>
      <c r="F22" s="31">
        <v>0</v>
      </c>
    </row>
    <row r="23" spans="1:6" ht="39" customHeight="1" x14ac:dyDescent="0.25">
      <c r="A23" s="59" t="s">
        <v>42</v>
      </c>
      <c r="B23" s="33" t="s">
        <v>40</v>
      </c>
      <c r="C23" s="36">
        <f>1800*1400*2</f>
        <v>5040000</v>
      </c>
      <c r="D23" s="36">
        <f>1071.429*D22</f>
        <v>643693.11462000001</v>
      </c>
      <c r="E23" s="30">
        <f>D23-C23</f>
        <v>-4396306.8853799999</v>
      </c>
      <c r="F23" s="37">
        <f>D23/C23*100</f>
        <v>12.771688782142856</v>
      </c>
    </row>
    <row r="24" spans="1:6" x14ac:dyDescent="0.25">
      <c r="A24" s="35"/>
      <c r="B24" s="35"/>
      <c r="D24" s="35"/>
      <c r="E24" s="35"/>
      <c r="F24" s="35"/>
    </row>
    <row r="25" spans="1:6" ht="40.799999999999997" customHeight="1" x14ac:dyDescent="0.25">
      <c r="A25" s="77" t="s">
        <v>77</v>
      </c>
      <c r="B25" s="77"/>
      <c r="C25" s="77"/>
      <c r="D25" s="77"/>
      <c r="E25" s="77"/>
      <c r="F25" s="77"/>
    </row>
    <row r="26" spans="1:6" ht="15.6" x14ac:dyDescent="0.25">
      <c r="A26" s="81"/>
      <c r="B26" s="81"/>
      <c r="C26" s="81"/>
      <c r="D26" s="81"/>
      <c r="E26" s="81"/>
      <c r="F26" s="81"/>
    </row>
    <row r="27" spans="1:6" ht="15.6" x14ac:dyDescent="0.3">
      <c r="A27" s="78" t="s">
        <v>43</v>
      </c>
      <c r="B27" s="78"/>
      <c r="C27" s="78"/>
      <c r="D27" s="78"/>
      <c r="E27" s="78"/>
      <c r="F27" s="78"/>
    </row>
    <row r="29" spans="1:6" ht="19.2" customHeight="1" x14ac:dyDescent="0.25">
      <c r="A29" s="82" t="s">
        <v>33</v>
      </c>
      <c r="B29" s="82" t="s">
        <v>34</v>
      </c>
      <c r="C29" s="82" t="s">
        <v>1</v>
      </c>
      <c r="D29" s="82" t="s">
        <v>2</v>
      </c>
      <c r="E29" s="79" t="s">
        <v>35</v>
      </c>
      <c r="F29" s="80"/>
    </row>
    <row r="30" spans="1:6" ht="19.2" customHeight="1" x14ac:dyDescent="0.25">
      <c r="A30" s="83"/>
      <c r="B30" s="83"/>
      <c r="C30" s="83"/>
      <c r="D30" s="83"/>
      <c r="E30" s="56" t="s">
        <v>3</v>
      </c>
      <c r="F30" s="56" t="s">
        <v>0</v>
      </c>
    </row>
    <row r="31" spans="1:6" ht="40.200000000000003" customHeight="1" x14ac:dyDescent="0.25">
      <c r="A31" s="57" t="s">
        <v>36</v>
      </c>
      <c r="B31" s="29" t="s">
        <v>39</v>
      </c>
      <c r="C31" s="30">
        <f>2*18692</f>
        <v>37384</v>
      </c>
      <c r="D31" s="30">
        <v>35213</v>
      </c>
      <c r="E31" s="30">
        <f>D31-C31</f>
        <v>-2171</v>
      </c>
      <c r="F31" s="31">
        <f>D31/C31*100</f>
        <v>94.192702760539277</v>
      </c>
    </row>
    <row r="32" spans="1:6" ht="40.200000000000003" customHeight="1" x14ac:dyDescent="0.25">
      <c r="A32" s="59" t="s">
        <v>38</v>
      </c>
      <c r="B32" s="33" t="s">
        <v>40</v>
      </c>
      <c r="C32" s="30">
        <f>2*3338000</f>
        <v>6676000</v>
      </c>
      <c r="D32" s="30">
        <v>6288071</v>
      </c>
      <c r="E32" s="30">
        <f>D32-C32</f>
        <v>-387929</v>
      </c>
      <c r="F32" s="31">
        <f>D32/C32*100</f>
        <v>94.189200119832236</v>
      </c>
    </row>
    <row r="33" spans="1:6" x14ac:dyDescent="0.25">
      <c r="A33" s="63"/>
      <c r="B33" s="61"/>
      <c r="C33" s="61"/>
      <c r="D33" s="64"/>
      <c r="E33" s="61"/>
      <c r="F33" s="61"/>
    </row>
    <row r="34" spans="1:6" ht="39" customHeight="1" x14ac:dyDescent="0.25">
      <c r="A34" s="77" t="s">
        <v>78</v>
      </c>
      <c r="B34" s="77"/>
      <c r="C34" s="77"/>
      <c r="D34" s="77"/>
      <c r="E34" s="77"/>
      <c r="F34" s="77"/>
    </row>
    <row r="36" spans="1:6" x14ac:dyDescent="0.25">
      <c r="E36" s="67"/>
    </row>
    <row r="37" spans="1:6" ht="68.400000000000006" customHeight="1" x14ac:dyDescent="0.25">
      <c r="A37" s="76" t="s">
        <v>79</v>
      </c>
      <c r="B37" s="76"/>
      <c r="C37" s="76"/>
      <c r="D37" s="76"/>
      <c r="E37" s="76"/>
      <c r="F37" s="76"/>
    </row>
  </sheetData>
  <mergeCells count="27">
    <mergeCell ref="E29:F29"/>
    <mergeCell ref="E6:F6"/>
    <mergeCell ref="A1:F1"/>
    <mergeCell ref="A3:F3"/>
    <mergeCell ref="A4:F4"/>
    <mergeCell ref="A5:F5"/>
    <mergeCell ref="A2:F2"/>
    <mergeCell ref="A6:A7"/>
    <mergeCell ref="B6:B7"/>
    <mergeCell ref="C6:C7"/>
    <mergeCell ref="D6:D7"/>
    <mergeCell ref="A37:F37"/>
    <mergeCell ref="A13:F13"/>
    <mergeCell ref="A17:F17"/>
    <mergeCell ref="E19:F19"/>
    <mergeCell ref="A25:F25"/>
    <mergeCell ref="A26:F26"/>
    <mergeCell ref="A19:A20"/>
    <mergeCell ref="B19:B20"/>
    <mergeCell ref="C19:C20"/>
    <mergeCell ref="D19:D20"/>
    <mergeCell ref="A34:F34"/>
    <mergeCell ref="A27:F27"/>
    <mergeCell ref="A29:A30"/>
    <mergeCell ref="B29:B30"/>
    <mergeCell ref="C29:C30"/>
    <mergeCell ref="D29:D30"/>
  </mergeCells>
  <pageMargins left="0.70866141732283472" right="0.70866141732283472" top="0.39370078740157483" bottom="0.19685039370078741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22" zoomScaleNormal="100" zoomScaleSheetLayoutView="83" workbookViewId="0">
      <selection activeCell="B28" sqref="B28:G34"/>
    </sheetView>
  </sheetViews>
  <sheetFormatPr defaultColWidth="9.109375" defaultRowHeight="13.8" x14ac:dyDescent="0.25"/>
  <cols>
    <col min="1" max="1" width="38.33203125" style="1" customWidth="1"/>
    <col min="2" max="3" width="14.5546875" style="1" customWidth="1"/>
    <col min="4" max="4" width="14.6640625" style="1" customWidth="1"/>
    <col min="5" max="5" width="14.5546875" style="1" customWidth="1"/>
    <col min="6" max="6" width="12.5546875" style="1" bestFit="1" customWidth="1"/>
    <col min="7" max="7" width="9.88671875" style="1" bestFit="1" customWidth="1"/>
    <col min="8" max="10" width="19.6640625" style="1" customWidth="1"/>
    <col min="11" max="12" width="28.44140625" style="1" customWidth="1"/>
    <col min="13" max="16384" width="9.109375" style="1"/>
  </cols>
  <sheetData>
    <row r="1" spans="1:9" x14ac:dyDescent="0.25">
      <c r="A1" s="95" t="s">
        <v>4</v>
      </c>
      <c r="B1" s="95"/>
      <c r="C1" s="95"/>
      <c r="D1" s="95"/>
      <c r="E1" s="95"/>
      <c r="F1" s="95"/>
      <c r="G1" s="95"/>
    </row>
    <row r="2" spans="1:9" x14ac:dyDescent="0.25">
      <c r="A2" s="95" t="s">
        <v>5</v>
      </c>
      <c r="B2" s="95"/>
      <c r="C2" s="95"/>
      <c r="D2" s="95"/>
      <c r="E2" s="95"/>
      <c r="F2" s="95"/>
      <c r="G2" s="95"/>
    </row>
    <row r="4" spans="1:9" ht="22.5" customHeight="1" x14ac:dyDescent="0.25">
      <c r="A4" s="86" t="s">
        <v>6</v>
      </c>
      <c r="B4" s="88" t="s">
        <v>59</v>
      </c>
      <c r="C4" s="88"/>
      <c r="D4" s="89" t="s">
        <v>2</v>
      </c>
      <c r="E4" s="90"/>
      <c r="F4" s="98" t="s">
        <v>35</v>
      </c>
      <c r="G4" s="98"/>
    </row>
    <row r="5" spans="1:9" ht="27.6" x14ac:dyDescent="0.25">
      <c r="A5" s="87"/>
      <c r="B5" s="2" t="s">
        <v>29</v>
      </c>
      <c r="C5" s="2" t="s">
        <v>7</v>
      </c>
      <c r="D5" s="2" t="s">
        <v>29</v>
      </c>
      <c r="E5" s="2" t="s">
        <v>7</v>
      </c>
      <c r="F5" s="98"/>
      <c r="G5" s="98"/>
    </row>
    <row r="6" spans="1:9" ht="43.5" customHeight="1" x14ac:dyDescent="0.25">
      <c r="A6" s="3" t="s">
        <v>60</v>
      </c>
      <c r="B6" s="110">
        <v>10000</v>
      </c>
      <c r="C6" s="111"/>
      <c r="D6" s="110">
        <v>1915</v>
      </c>
      <c r="E6" s="111"/>
      <c r="F6" s="51" t="s">
        <v>25</v>
      </c>
      <c r="G6" s="2" t="s">
        <v>0</v>
      </c>
      <c r="H6" s="28"/>
    </row>
    <row r="7" spans="1:9" ht="23.25" customHeight="1" x14ac:dyDescent="0.25">
      <c r="A7" s="4" t="s">
        <v>24</v>
      </c>
      <c r="B7" s="5">
        <f>C7*10</f>
        <v>27232142.857142854</v>
      </c>
      <c r="C7" s="5">
        <f>(3050000/1.12)</f>
        <v>2723214.2857142854</v>
      </c>
      <c r="D7" s="5">
        <f>E7*1.91555</f>
        <v>5698761.25</v>
      </c>
      <c r="E7" s="5">
        <v>2975000</v>
      </c>
      <c r="F7" s="5">
        <f>E7-C7</f>
        <v>251785.71428571455</v>
      </c>
      <c r="G7" s="6">
        <f>E7/C7*100</f>
        <v>109.24590163934427</v>
      </c>
      <c r="H7" s="26"/>
    </row>
    <row r="8" spans="1:9" ht="23.25" customHeight="1" x14ac:dyDescent="0.25">
      <c r="A8" s="3" t="s">
        <v>61</v>
      </c>
      <c r="B8" s="5">
        <f t="shared" ref="B8:B16" si="0">C8*10</f>
        <v>489800</v>
      </c>
      <c r="C8" s="5">
        <v>48980</v>
      </c>
      <c r="D8" s="5">
        <f t="shared" ref="D8:D16" si="1">E8*1.91555</f>
        <v>91946.400000000009</v>
      </c>
      <c r="E8" s="5">
        <f>1915*20*2400/1915</f>
        <v>48000</v>
      </c>
      <c r="F8" s="5">
        <f t="shared" ref="F8:F15" si="2">E8-C8</f>
        <v>-980</v>
      </c>
      <c r="G8" s="6">
        <f t="shared" ref="G8:G16" si="3">E8/C8*100</f>
        <v>97.999183340138828</v>
      </c>
      <c r="H8" s="26"/>
    </row>
    <row r="9" spans="1:9" ht="34.5" customHeight="1" x14ac:dyDescent="0.25">
      <c r="A9" s="3" t="s">
        <v>62</v>
      </c>
      <c r="B9" s="5">
        <f t="shared" si="0"/>
        <v>0</v>
      </c>
      <c r="C9" s="5">
        <v>0</v>
      </c>
      <c r="D9" s="5">
        <f t="shared" si="1"/>
        <v>0</v>
      </c>
      <c r="E9" s="5">
        <v>0</v>
      </c>
      <c r="F9" s="5">
        <f t="shared" si="2"/>
        <v>0</v>
      </c>
      <c r="G9" s="6">
        <v>0</v>
      </c>
      <c r="H9" s="54"/>
      <c r="I9" s="53"/>
    </row>
    <row r="10" spans="1:9" ht="23.25" customHeight="1" x14ac:dyDescent="0.25">
      <c r="A10" s="3" t="s">
        <v>63</v>
      </c>
      <c r="B10" s="5">
        <f t="shared" si="0"/>
        <v>22430</v>
      </c>
      <c r="C10" s="5">
        <v>2243</v>
      </c>
      <c r="D10" s="5">
        <f t="shared" si="1"/>
        <v>3923.4488608838137</v>
      </c>
      <c r="E10" s="5">
        <f>61939/(28325.55+1915)*1000</f>
        <v>2048.2101019988063</v>
      </c>
      <c r="F10" s="5">
        <f t="shared" si="2"/>
        <v>-194.78989800119371</v>
      </c>
      <c r="G10" s="6">
        <f t="shared" si="3"/>
        <v>91.315653232224975</v>
      </c>
      <c r="H10" s="54"/>
      <c r="I10" s="53"/>
    </row>
    <row r="11" spans="1:9" ht="23.25" customHeight="1" x14ac:dyDescent="0.25">
      <c r="A11" s="3" t="s">
        <v>8</v>
      </c>
      <c r="B11" s="5">
        <f t="shared" si="0"/>
        <v>855000</v>
      </c>
      <c r="C11" s="5">
        <f>95*900</f>
        <v>85500</v>
      </c>
      <c r="D11" s="5">
        <f t="shared" si="1"/>
        <v>131489.98079730695</v>
      </c>
      <c r="E11" s="5">
        <f>2075816/(28325.55+1915)*1000</f>
        <v>68643.460519071261</v>
      </c>
      <c r="F11" s="5">
        <f t="shared" si="2"/>
        <v>-16856.539480928739</v>
      </c>
      <c r="G11" s="6">
        <f t="shared" si="3"/>
        <v>80.284749145112585</v>
      </c>
      <c r="H11" s="54"/>
      <c r="I11" s="53"/>
    </row>
    <row r="12" spans="1:9" ht="23.25" customHeight="1" x14ac:dyDescent="0.25">
      <c r="A12" s="3" t="s">
        <v>9</v>
      </c>
      <c r="B12" s="5">
        <f t="shared" si="0"/>
        <v>91000</v>
      </c>
      <c r="C12" s="5">
        <v>9100</v>
      </c>
      <c r="D12" s="5">
        <f t="shared" si="1"/>
        <v>18184.756949691724</v>
      </c>
      <c r="E12" s="5">
        <f>287080.5/(28325.55+1915)*1000</f>
        <v>9493.2301165157387</v>
      </c>
      <c r="F12" s="5">
        <f t="shared" si="2"/>
        <v>393.2301165157387</v>
      </c>
      <c r="G12" s="6">
        <f t="shared" si="3"/>
        <v>104.32121007160153</v>
      </c>
      <c r="H12" s="26"/>
    </row>
    <row r="13" spans="1:9" ht="23.25" customHeight="1" x14ac:dyDescent="0.25">
      <c r="A13" s="8" t="s">
        <v>64</v>
      </c>
      <c r="B13" s="5">
        <f t="shared" si="0"/>
        <v>769510</v>
      </c>
      <c r="C13" s="5">
        <v>76951</v>
      </c>
      <c r="D13" s="5">
        <f t="shared" si="1"/>
        <v>91810.324944817476</v>
      </c>
      <c r="E13" s="5">
        <f>1449398.2/(28325.55+1915)*1000</f>
        <v>47928.962932221802</v>
      </c>
      <c r="F13" s="5">
        <f t="shared" si="2"/>
        <v>-29022.037067778198</v>
      </c>
      <c r="G13" s="6">
        <f t="shared" si="3"/>
        <v>62.28504234151837</v>
      </c>
      <c r="H13" s="26"/>
    </row>
    <row r="14" spans="1:9" ht="23.25" customHeight="1" x14ac:dyDescent="0.25">
      <c r="A14" s="3" t="s">
        <v>48</v>
      </c>
      <c r="B14" s="5">
        <f t="shared" si="0"/>
        <v>92341.199999999983</v>
      </c>
      <c r="C14" s="5">
        <f>C13*0.12</f>
        <v>9234.119999999999</v>
      </c>
      <c r="D14" s="5">
        <f t="shared" si="1"/>
        <v>11017.238993378098</v>
      </c>
      <c r="E14" s="5">
        <f>E13*0.12</f>
        <v>5751.4755518666161</v>
      </c>
      <c r="F14" s="5">
        <f t="shared" si="2"/>
        <v>-3482.6444481333829</v>
      </c>
      <c r="G14" s="6">
        <f t="shared" si="3"/>
        <v>62.285042341518384</v>
      </c>
      <c r="H14" s="26"/>
    </row>
    <row r="15" spans="1:9" ht="23.4" customHeight="1" x14ac:dyDescent="0.25">
      <c r="A15" s="3" t="s">
        <v>10</v>
      </c>
      <c r="B15" s="5">
        <f t="shared" si="0"/>
        <v>135080</v>
      </c>
      <c r="C15" s="5">
        <v>13508</v>
      </c>
      <c r="D15" s="5">
        <f t="shared" si="1"/>
        <v>12055.773544131971</v>
      </c>
      <c r="E15" s="5">
        <f>190323/(28325.55+1915)*1000</f>
        <v>6293.635532422526</v>
      </c>
      <c r="F15" s="5">
        <f t="shared" si="2"/>
        <v>-7214.364467577474</v>
      </c>
      <c r="G15" s="6">
        <f t="shared" si="3"/>
        <v>46.591912440202293</v>
      </c>
      <c r="H15" s="26"/>
    </row>
    <row r="16" spans="1:9" ht="23.25" customHeight="1" x14ac:dyDescent="0.25">
      <c r="A16" s="9" t="s">
        <v>28</v>
      </c>
      <c r="B16" s="5">
        <f t="shared" si="0"/>
        <v>272321.42857142852</v>
      </c>
      <c r="C16" s="5">
        <f>C7/100</f>
        <v>27232.142857142855</v>
      </c>
      <c r="D16" s="5">
        <f t="shared" si="1"/>
        <v>2338.8865500000002</v>
      </c>
      <c r="E16" s="5">
        <v>1221</v>
      </c>
      <c r="F16" s="5">
        <f>E16-C16</f>
        <v>-26011.142857142855</v>
      </c>
      <c r="G16" s="6">
        <f t="shared" si="3"/>
        <v>4.4836721311475412</v>
      </c>
      <c r="H16" s="26"/>
    </row>
    <row r="17" spans="1:13" ht="21" customHeight="1" x14ac:dyDescent="0.25">
      <c r="A17" s="10" t="s">
        <v>65</v>
      </c>
      <c r="B17" s="11">
        <f>SUM(B7:B16)</f>
        <v>29959625.485714283</v>
      </c>
      <c r="C17" s="11">
        <f>SUM(C7:C16)</f>
        <v>2995962.5485714283</v>
      </c>
      <c r="D17" s="11">
        <f>SUM(D7:D16)</f>
        <v>6061528.0606402103</v>
      </c>
      <c r="E17" s="11">
        <f>SUM(E7:E16)</f>
        <v>3164379.9747540965</v>
      </c>
      <c r="F17" s="11">
        <f>SUM(F7:F16)</f>
        <v>168417.42618266842</v>
      </c>
      <c r="G17" s="19">
        <f>E17/C17*100</f>
        <v>105.62147968982374</v>
      </c>
      <c r="H17" s="27"/>
    </row>
    <row r="18" spans="1:13" s="13" customFormat="1" x14ac:dyDescent="0.25">
      <c r="A18" s="12"/>
      <c r="B18" s="14"/>
      <c r="C18" s="14"/>
    </row>
    <row r="19" spans="1:13" ht="67.5" customHeight="1" x14ac:dyDescent="0.25">
      <c r="A19" s="85" t="s">
        <v>74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</row>
    <row r="20" spans="1:13" x14ac:dyDescent="0.25">
      <c r="A20" s="96"/>
      <c r="B20" s="96"/>
      <c r="C20" s="96"/>
      <c r="D20" s="96"/>
      <c r="E20" s="96"/>
      <c r="F20" s="96"/>
      <c r="G20" s="96"/>
    </row>
    <row r="21" spans="1:13" x14ac:dyDescent="0.25">
      <c r="A21" s="40"/>
      <c r="B21" s="40"/>
      <c r="C21" s="40"/>
      <c r="D21" s="40"/>
      <c r="E21" s="40"/>
      <c r="F21" s="40"/>
      <c r="G21" s="40"/>
    </row>
    <row r="22" spans="1:13" x14ac:dyDescent="0.25">
      <c r="E22" s="97"/>
      <c r="F22" s="97"/>
      <c r="G22" s="97"/>
    </row>
    <row r="23" spans="1:13" x14ac:dyDescent="0.25">
      <c r="A23" s="95" t="s">
        <v>66</v>
      </c>
      <c r="B23" s="95"/>
      <c r="C23" s="95"/>
      <c r="D23" s="95"/>
      <c r="E23" s="95"/>
      <c r="F23" s="95"/>
      <c r="G23" s="95"/>
    </row>
    <row r="24" spans="1:13" x14ac:dyDescent="0.25">
      <c r="A24" s="95" t="s">
        <v>67</v>
      </c>
      <c r="B24" s="95"/>
      <c r="C24" s="95"/>
      <c r="D24" s="95"/>
      <c r="E24" s="95"/>
      <c r="F24" s="95"/>
      <c r="G24" s="95"/>
    </row>
    <row r="26" spans="1:13" ht="17.25" customHeight="1" x14ac:dyDescent="0.25">
      <c r="A26" s="86" t="s">
        <v>6</v>
      </c>
      <c r="B26" s="88" t="s">
        <v>59</v>
      </c>
      <c r="C26" s="88"/>
      <c r="D26" s="89" t="s">
        <v>2</v>
      </c>
      <c r="E26" s="90"/>
      <c r="F26" s="91" t="s">
        <v>35</v>
      </c>
      <c r="G26" s="92"/>
    </row>
    <row r="27" spans="1:13" ht="27.6" x14ac:dyDescent="0.25">
      <c r="A27" s="87"/>
      <c r="B27" s="2" t="s">
        <v>26</v>
      </c>
      <c r="C27" s="2" t="s">
        <v>7</v>
      </c>
      <c r="D27" s="2" t="s">
        <v>26</v>
      </c>
      <c r="E27" s="2" t="s">
        <v>7</v>
      </c>
      <c r="F27" s="93"/>
      <c r="G27" s="94"/>
    </row>
    <row r="28" spans="1:13" ht="33.75" customHeight="1" x14ac:dyDescent="0.25">
      <c r="A28" s="3" t="s">
        <v>60</v>
      </c>
      <c r="B28" s="108">
        <v>2800</v>
      </c>
      <c r="C28" s="109"/>
      <c r="D28" s="108">
        <v>600.78</v>
      </c>
      <c r="E28" s="109"/>
      <c r="F28" s="43" t="s">
        <v>3</v>
      </c>
      <c r="G28" s="43" t="s">
        <v>0</v>
      </c>
    </row>
    <row r="29" spans="1:13" ht="21" customHeight="1" x14ac:dyDescent="0.25">
      <c r="A29" s="8" t="s">
        <v>11</v>
      </c>
      <c r="B29" s="15">
        <f>2800*C29/1000</f>
        <v>20146</v>
      </c>
      <c r="C29" s="16">
        <v>7195</v>
      </c>
      <c r="D29" s="15">
        <v>71195</v>
      </c>
      <c r="E29" s="16">
        <f>136284/8.91853</f>
        <v>15280.993616661041</v>
      </c>
      <c r="F29" s="6">
        <f>E29-C29</f>
        <v>8085.9936166610405</v>
      </c>
      <c r="G29" s="7">
        <f>E29/C29*100</f>
        <v>212.38351100293315</v>
      </c>
    </row>
    <row r="30" spans="1:13" ht="21" customHeight="1" x14ac:dyDescent="0.25">
      <c r="A30" s="8" t="s">
        <v>12</v>
      </c>
      <c r="B30" s="15">
        <f t="shared" ref="B30:B33" si="4">2800*C30/1000</f>
        <v>9707.6</v>
      </c>
      <c r="C30" s="16">
        <v>3467</v>
      </c>
      <c r="D30" s="15">
        <v>48444</v>
      </c>
      <c r="E30" s="16">
        <f>96887.9/8.91853</f>
        <v>10863.662509404576</v>
      </c>
      <c r="F30" s="6">
        <f t="shared" ref="F30:F33" si="5">E30-C30</f>
        <v>7396.6625094045758</v>
      </c>
      <c r="G30" s="7">
        <f>E30/C30*100</f>
        <v>313.34475077601894</v>
      </c>
    </row>
    <row r="31" spans="1:13" ht="21" customHeight="1" x14ac:dyDescent="0.25">
      <c r="A31" s="8" t="s">
        <v>64</v>
      </c>
      <c r="B31" s="15">
        <f t="shared" si="4"/>
        <v>170730</v>
      </c>
      <c r="C31" s="16">
        <v>60975</v>
      </c>
      <c r="D31" s="5">
        <v>228315</v>
      </c>
      <c r="E31" s="16">
        <f>467051.2/8.91853+10000</f>
        <v>62368.630256331482</v>
      </c>
      <c r="F31" s="6">
        <f t="shared" si="5"/>
        <v>1393.6302563314821</v>
      </c>
      <c r="G31" s="7">
        <f t="shared" ref="G31:G33" si="6">E31/C31*100</f>
        <v>102.28557647614839</v>
      </c>
      <c r="H31" s="41"/>
    </row>
    <row r="32" spans="1:13" ht="21" customHeight="1" x14ac:dyDescent="0.25">
      <c r="A32" s="8" t="s">
        <v>48</v>
      </c>
      <c r="B32" s="15">
        <f t="shared" si="4"/>
        <v>20325.2</v>
      </c>
      <c r="C32" s="16">
        <v>7259</v>
      </c>
      <c r="D32" s="5">
        <v>27398</v>
      </c>
      <c r="E32" s="16">
        <f>E31*0.12</f>
        <v>7484.2356307597775</v>
      </c>
      <c r="F32" s="6">
        <f t="shared" si="5"/>
        <v>225.23563075977745</v>
      </c>
      <c r="G32" s="7">
        <f>E32/C32*100</f>
        <v>103.10284654580215</v>
      </c>
      <c r="H32" s="41"/>
    </row>
    <row r="33" spans="1:8" ht="21" customHeight="1" x14ac:dyDescent="0.25">
      <c r="A33" s="8" t="s">
        <v>51</v>
      </c>
      <c r="B33" s="15">
        <f t="shared" si="4"/>
        <v>9545.2000000000007</v>
      </c>
      <c r="C33" s="16">
        <v>3409</v>
      </c>
      <c r="D33" s="15">
        <v>62344</v>
      </c>
      <c r="E33" s="16">
        <v>35002</v>
      </c>
      <c r="F33" s="6">
        <f t="shared" si="5"/>
        <v>31593</v>
      </c>
      <c r="G33" s="7">
        <f t="shared" si="6"/>
        <v>1026.7527134056909</v>
      </c>
      <c r="H33" s="41"/>
    </row>
    <row r="34" spans="1:8" ht="21" customHeight="1" x14ac:dyDescent="0.25">
      <c r="A34" s="17" t="s">
        <v>68</v>
      </c>
      <c r="B34" s="18">
        <f>SUM(B29:B33)</f>
        <v>230454.00000000003</v>
      </c>
      <c r="C34" s="18">
        <f>SUM(C29:C33)</f>
        <v>82305</v>
      </c>
      <c r="D34" s="18">
        <f>SUM(D29:D33)</f>
        <v>437696</v>
      </c>
      <c r="E34" s="18">
        <f>SUM(E29:E33)</f>
        <v>130999.52201315688</v>
      </c>
      <c r="F34" s="18">
        <f>SUM(F29:F33)</f>
        <v>48694.522013156879</v>
      </c>
      <c r="G34" s="19">
        <f>E34/C34*100</f>
        <v>159.16350405583728</v>
      </c>
      <c r="H34" s="55"/>
    </row>
    <row r="35" spans="1:8" x14ac:dyDescent="0.25">
      <c r="A35" s="20"/>
      <c r="B35" s="21"/>
      <c r="C35" s="21"/>
      <c r="D35" s="14"/>
      <c r="E35" s="75"/>
      <c r="F35" s="106"/>
      <c r="G35" s="22"/>
      <c r="H35" s="107"/>
    </row>
    <row r="36" spans="1:8" ht="62.25" customHeight="1" x14ac:dyDescent="0.25">
      <c r="A36" s="85" t="s">
        <v>75</v>
      </c>
      <c r="B36" s="85"/>
      <c r="C36" s="85"/>
      <c r="D36" s="85"/>
      <c r="E36" s="85"/>
      <c r="F36" s="85"/>
      <c r="G36" s="85"/>
      <c r="H36" s="42"/>
    </row>
    <row r="37" spans="1:8" x14ac:dyDescent="0.25">
      <c r="A37" s="48"/>
      <c r="B37" s="48"/>
      <c r="C37" s="48"/>
      <c r="D37" s="48"/>
      <c r="E37" s="48"/>
      <c r="F37" s="48"/>
      <c r="G37" s="48"/>
    </row>
    <row r="41" spans="1:8" x14ac:dyDescent="0.25">
      <c r="D41" s="53"/>
      <c r="E41" s="53"/>
    </row>
  </sheetData>
  <mergeCells count="21">
    <mergeCell ref="A1:G1"/>
    <mergeCell ref="A2:G2"/>
    <mergeCell ref="A4:A5"/>
    <mergeCell ref="B4:C4"/>
    <mergeCell ref="D4:E4"/>
    <mergeCell ref="F4:G5"/>
    <mergeCell ref="H19:M19"/>
    <mergeCell ref="B26:C26"/>
    <mergeCell ref="D26:E26"/>
    <mergeCell ref="F26:G27"/>
    <mergeCell ref="B28:C28"/>
    <mergeCell ref="D28:E28"/>
    <mergeCell ref="A24:G24"/>
    <mergeCell ref="A20:G20"/>
    <mergeCell ref="E22:G22"/>
    <mergeCell ref="A23:G23"/>
    <mergeCell ref="B6:C6"/>
    <mergeCell ref="D6:E6"/>
    <mergeCell ref="A19:G19"/>
    <mergeCell ref="A36:G36"/>
    <mergeCell ref="A26:A27"/>
  </mergeCells>
  <pageMargins left="0.19685039370078741" right="0.19685039370078741" top="0.31496062992125984" bottom="0.19685039370078741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16" zoomScaleNormal="100" zoomScaleSheetLayoutView="100" workbookViewId="0">
      <selection activeCell="A27" sqref="A27"/>
    </sheetView>
  </sheetViews>
  <sheetFormatPr defaultColWidth="9.109375" defaultRowHeight="13.8" x14ac:dyDescent="0.25"/>
  <cols>
    <col min="1" max="1" width="56.21875" style="1" customWidth="1"/>
    <col min="2" max="2" width="13.109375" style="1" customWidth="1"/>
    <col min="3" max="3" width="11.109375" style="1" customWidth="1"/>
    <col min="4" max="4" width="11.6640625" style="1" bestFit="1" customWidth="1"/>
    <col min="5" max="5" width="10.5546875" style="1" customWidth="1"/>
    <col min="6" max="6" width="9.88671875" style="1" bestFit="1" customWidth="1"/>
    <col min="7" max="16384" width="9.109375" style="1"/>
  </cols>
  <sheetData>
    <row r="1" spans="1:5" x14ac:dyDescent="0.25">
      <c r="A1" s="100" t="s">
        <v>46</v>
      </c>
      <c r="B1" s="100"/>
      <c r="C1" s="100"/>
      <c r="D1" s="100"/>
      <c r="E1" s="100"/>
    </row>
    <row r="2" spans="1:5" x14ac:dyDescent="0.25">
      <c r="B2" s="39"/>
      <c r="C2" s="39"/>
      <c r="D2" s="39"/>
      <c r="E2" s="39"/>
    </row>
    <row r="3" spans="1:5" ht="18.600000000000001" customHeight="1" x14ac:dyDescent="0.25">
      <c r="A3" s="86" t="s">
        <v>6</v>
      </c>
      <c r="B3" s="98" t="s">
        <v>13</v>
      </c>
      <c r="C3" s="86" t="s">
        <v>2</v>
      </c>
      <c r="D3" s="102" t="s">
        <v>35</v>
      </c>
      <c r="E3" s="103"/>
    </row>
    <row r="4" spans="1:5" ht="18.600000000000001" customHeight="1" x14ac:dyDescent="0.25">
      <c r="A4" s="87"/>
      <c r="B4" s="98"/>
      <c r="C4" s="101"/>
      <c r="D4" s="43" t="s">
        <v>3</v>
      </c>
      <c r="E4" s="43" t="s">
        <v>0</v>
      </c>
    </row>
    <row r="5" spans="1:5" ht="21.6" customHeight="1" x14ac:dyDescent="0.25">
      <c r="A5" s="25" t="s">
        <v>45</v>
      </c>
      <c r="B5" s="15">
        <v>12500</v>
      </c>
      <c r="C5" s="15">
        <v>0</v>
      </c>
      <c r="D5" s="15">
        <f>C5-B5</f>
        <v>-12500</v>
      </c>
      <c r="E5" s="15">
        <f>C5/B5*100</f>
        <v>0</v>
      </c>
    </row>
    <row r="6" spans="1:5" ht="21.6" customHeight="1" x14ac:dyDescent="0.25">
      <c r="A6" s="8" t="s">
        <v>47</v>
      </c>
      <c r="B6" s="15">
        <v>938180</v>
      </c>
      <c r="C6" s="15">
        <v>1243607</v>
      </c>
      <c r="D6" s="15">
        <f t="shared" ref="D6:D11" si="0">C6-B6</f>
        <v>305427</v>
      </c>
      <c r="E6" s="15">
        <f t="shared" ref="E6:E11" si="1">C6/B6*100</f>
        <v>132.55526657997399</v>
      </c>
    </row>
    <row r="7" spans="1:5" ht="21.6" customHeight="1" x14ac:dyDescent="0.25">
      <c r="A7" s="23" t="s">
        <v>48</v>
      </c>
      <c r="B7" s="15">
        <v>112580</v>
      </c>
      <c r="C7" s="15">
        <v>146263</v>
      </c>
      <c r="D7" s="15">
        <f t="shared" si="0"/>
        <v>33683</v>
      </c>
      <c r="E7" s="15">
        <f t="shared" si="1"/>
        <v>129.91916859122401</v>
      </c>
    </row>
    <row r="8" spans="1:5" ht="21.6" customHeight="1" x14ac:dyDescent="0.25">
      <c r="A8" s="23" t="s">
        <v>30</v>
      </c>
      <c r="B8" s="15">
        <v>11818</v>
      </c>
      <c r="C8" s="15">
        <v>14081</v>
      </c>
      <c r="D8" s="15">
        <f t="shared" si="0"/>
        <v>2263</v>
      </c>
      <c r="E8" s="15">
        <f t="shared" si="1"/>
        <v>119.14875613470977</v>
      </c>
    </row>
    <row r="9" spans="1:5" ht="21.6" customHeight="1" x14ac:dyDescent="0.25">
      <c r="A9" s="23" t="s">
        <v>49</v>
      </c>
      <c r="B9" s="15">
        <v>17034</v>
      </c>
      <c r="C9" s="44">
        <v>15925</v>
      </c>
      <c r="D9" s="15">
        <f t="shared" si="0"/>
        <v>-1109</v>
      </c>
      <c r="E9" s="15">
        <f t="shared" si="1"/>
        <v>93.48949160502525</v>
      </c>
    </row>
    <row r="10" spans="1:5" ht="21.6" customHeight="1" x14ac:dyDescent="0.25">
      <c r="A10" s="23" t="s">
        <v>50</v>
      </c>
      <c r="B10" s="15">
        <v>10040</v>
      </c>
      <c r="C10" s="15">
        <v>46348</v>
      </c>
      <c r="D10" s="15">
        <f t="shared" si="0"/>
        <v>36308</v>
      </c>
      <c r="E10" s="15">
        <f t="shared" si="1"/>
        <v>461.63346613545821</v>
      </c>
    </row>
    <row r="11" spans="1:5" ht="21.6" customHeight="1" x14ac:dyDescent="0.25">
      <c r="A11" s="23" t="s">
        <v>51</v>
      </c>
      <c r="B11" s="15">
        <v>18730</v>
      </c>
      <c r="C11" s="15">
        <v>1100</v>
      </c>
      <c r="D11" s="15">
        <f t="shared" si="0"/>
        <v>-17630</v>
      </c>
      <c r="E11" s="15">
        <f t="shared" si="1"/>
        <v>5.8729311265349704</v>
      </c>
    </row>
    <row r="12" spans="1:5" ht="21.6" customHeight="1" x14ac:dyDescent="0.25">
      <c r="A12" s="17" t="s">
        <v>52</v>
      </c>
      <c r="B12" s="18">
        <f>SUM(B5:B11)</f>
        <v>1120882</v>
      </c>
      <c r="C12" s="18">
        <f t="shared" ref="C12:D12" si="2">SUM(C5:C11)</f>
        <v>1467324</v>
      </c>
      <c r="D12" s="18">
        <f t="shared" si="2"/>
        <v>346442</v>
      </c>
      <c r="E12" s="18">
        <f>C12/B12*100</f>
        <v>130.90798139322425</v>
      </c>
    </row>
    <row r="13" spans="1:5" ht="14.25" customHeight="1" x14ac:dyDescent="0.25">
      <c r="B13" s="45"/>
      <c r="C13" s="46"/>
      <c r="D13" s="45"/>
      <c r="E13" s="47"/>
    </row>
    <row r="14" spans="1:5" x14ac:dyDescent="0.25">
      <c r="A14" s="85" t="s">
        <v>71</v>
      </c>
      <c r="B14" s="85"/>
      <c r="C14" s="85"/>
      <c r="D14" s="85"/>
      <c r="E14" s="85"/>
    </row>
    <row r="15" spans="1:5" x14ac:dyDescent="0.25">
      <c r="A15" s="48"/>
      <c r="B15" s="49"/>
      <c r="C15" s="50"/>
      <c r="D15" s="48"/>
      <c r="E15" s="48"/>
    </row>
    <row r="16" spans="1:5" x14ac:dyDescent="0.25">
      <c r="A16" s="48"/>
      <c r="B16" s="48"/>
      <c r="C16" s="48"/>
      <c r="D16" s="48"/>
      <c r="E16" s="48"/>
    </row>
    <row r="17" spans="1:5" x14ac:dyDescent="0.25">
      <c r="A17" s="48"/>
      <c r="B17" s="48"/>
      <c r="C17" s="48"/>
      <c r="D17" s="48"/>
      <c r="E17" s="48"/>
    </row>
    <row r="18" spans="1:5" x14ac:dyDescent="0.25">
      <c r="A18" s="48"/>
      <c r="B18" s="48"/>
      <c r="C18" s="48"/>
      <c r="D18" s="48"/>
      <c r="E18" s="48"/>
    </row>
    <row r="19" spans="1:5" x14ac:dyDescent="0.25">
      <c r="A19" s="95" t="s">
        <v>53</v>
      </c>
      <c r="B19" s="95"/>
      <c r="C19" s="95"/>
      <c r="D19" s="95"/>
      <c r="E19" s="95"/>
    </row>
    <row r="21" spans="1:5" ht="18" customHeight="1" x14ac:dyDescent="0.25">
      <c r="A21" s="98" t="s">
        <v>14</v>
      </c>
      <c r="B21" s="98" t="s">
        <v>13</v>
      </c>
      <c r="C21" s="98" t="s">
        <v>2</v>
      </c>
      <c r="D21" s="98" t="s">
        <v>35</v>
      </c>
      <c r="E21" s="98"/>
    </row>
    <row r="22" spans="1:5" ht="18" customHeight="1" x14ac:dyDescent="0.25">
      <c r="A22" s="98"/>
      <c r="B22" s="98"/>
      <c r="C22" s="98"/>
      <c r="D22" s="43" t="s">
        <v>3</v>
      </c>
      <c r="E22" s="43" t="s">
        <v>0</v>
      </c>
    </row>
    <row r="23" spans="1:5" ht="21.6" customHeight="1" x14ac:dyDescent="0.25">
      <c r="A23" s="23" t="s">
        <v>27</v>
      </c>
      <c r="B23" s="51">
        <v>55240000</v>
      </c>
      <c r="C23" s="51">
        <v>39607896</v>
      </c>
      <c r="D23" s="15">
        <f>C23-B23</f>
        <v>-15632104</v>
      </c>
      <c r="E23" s="15">
        <f>C23/B23*100</f>
        <v>71.701477190441707</v>
      </c>
    </row>
    <row r="24" spans="1:5" ht="21.6" customHeight="1" x14ac:dyDescent="0.25">
      <c r="A24" s="23" t="s">
        <v>54</v>
      </c>
      <c r="B24" s="51">
        <v>55410996</v>
      </c>
      <c r="C24" s="51">
        <v>34808994</v>
      </c>
      <c r="D24" s="15">
        <f>C24-B24</f>
        <v>-20602002</v>
      </c>
      <c r="E24" s="15">
        <f>C24/B24*100</f>
        <v>62.819650453494823</v>
      </c>
    </row>
    <row r="25" spans="1:5" ht="21.6" customHeight="1" x14ac:dyDescent="0.25">
      <c r="A25" s="23" t="s">
        <v>15</v>
      </c>
      <c r="B25" s="68">
        <f>B23-B24</f>
        <v>-170996</v>
      </c>
      <c r="C25" s="43">
        <f>C23-C24</f>
        <v>4798902</v>
      </c>
      <c r="D25" s="18">
        <f>C25-B25</f>
        <v>4969898</v>
      </c>
      <c r="E25" s="18">
        <f>C25/B25*100</f>
        <v>-2806.4410863412013</v>
      </c>
    </row>
    <row r="26" spans="1:5" ht="21.6" customHeight="1" x14ac:dyDescent="0.25">
      <c r="A26" s="23" t="s">
        <v>16</v>
      </c>
      <c r="B26" s="68">
        <f>B28+B29+B30</f>
        <v>2480644.5</v>
      </c>
      <c r="C26" s="43">
        <f>C28+C29+C30</f>
        <v>5067917</v>
      </c>
      <c r="D26" s="18">
        <f t="shared" ref="D26:D36" si="3">C26-B26</f>
        <v>2587272.5</v>
      </c>
      <c r="E26" s="18">
        <f t="shared" ref="E26:E30" si="4">C26/B26*100</f>
        <v>204.29839906524293</v>
      </c>
    </row>
    <row r="27" spans="1:5" ht="21.6" customHeight="1" x14ac:dyDescent="0.25">
      <c r="A27" s="112" t="s">
        <v>22</v>
      </c>
      <c r="B27" s="72"/>
      <c r="C27" s="51"/>
      <c r="D27" s="15"/>
      <c r="E27" s="15"/>
    </row>
    <row r="28" spans="1:5" ht="21.6" customHeight="1" x14ac:dyDescent="0.25">
      <c r="A28" s="70" t="s">
        <v>17</v>
      </c>
      <c r="B28" s="74">
        <v>122270.5</v>
      </c>
      <c r="C28" s="71">
        <v>13102</v>
      </c>
      <c r="D28" s="15">
        <f t="shared" si="3"/>
        <v>-109168.5</v>
      </c>
      <c r="E28" s="15">
        <f t="shared" si="4"/>
        <v>10.715585525535595</v>
      </c>
    </row>
    <row r="29" spans="1:5" ht="21.6" customHeight="1" x14ac:dyDescent="0.25">
      <c r="A29" s="70" t="s">
        <v>18</v>
      </c>
      <c r="B29" s="74">
        <v>1120883</v>
      </c>
      <c r="C29" s="71">
        <v>1467324</v>
      </c>
      <c r="D29" s="15">
        <f t="shared" si="3"/>
        <v>346441</v>
      </c>
      <c r="E29" s="15">
        <f t="shared" si="4"/>
        <v>130.90786460317446</v>
      </c>
    </row>
    <row r="30" spans="1:5" ht="21.6" customHeight="1" x14ac:dyDescent="0.25">
      <c r="A30" s="70" t="s">
        <v>55</v>
      </c>
      <c r="B30" s="74">
        <v>1237491</v>
      </c>
      <c r="C30" s="71">
        <v>3587491</v>
      </c>
      <c r="D30" s="15">
        <f t="shared" si="3"/>
        <v>2350000</v>
      </c>
      <c r="E30" s="15">
        <f t="shared" si="4"/>
        <v>289.90037099259712</v>
      </c>
    </row>
    <row r="31" spans="1:5" ht="21.6" customHeight="1" x14ac:dyDescent="0.25">
      <c r="A31" s="23" t="s">
        <v>23</v>
      </c>
      <c r="B31" s="73">
        <v>0</v>
      </c>
      <c r="C31" s="51">
        <v>21682</v>
      </c>
      <c r="D31" s="15">
        <f t="shared" si="3"/>
        <v>21682</v>
      </c>
      <c r="E31" s="15">
        <v>0</v>
      </c>
    </row>
    <row r="32" spans="1:5" ht="21.6" customHeight="1" x14ac:dyDescent="0.25">
      <c r="A32" s="23" t="s">
        <v>19</v>
      </c>
      <c r="B32" s="18">
        <f>B23-B24-B26+B31</f>
        <v>-2651640.5</v>
      </c>
      <c r="C32" s="18">
        <f>C23-C24-C26+C31</f>
        <v>-247333</v>
      </c>
      <c r="D32" s="18">
        <f>C32-B32</f>
        <v>2404307.5</v>
      </c>
      <c r="E32" s="18">
        <v>-130</v>
      </c>
    </row>
    <row r="33" spans="1:6" ht="21.6" customHeight="1" x14ac:dyDescent="0.25">
      <c r="A33" s="23" t="s">
        <v>20</v>
      </c>
      <c r="B33" s="15">
        <v>0</v>
      </c>
      <c r="C33" s="51">
        <v>0</v>
      </c>
      <c r="D33" s="15">
        <f t="shared" si="3"/>
        <v>0</v>
      </c>
      <c r="E33" s="15">
        <v>0</v>
      </c>
    </row>
    <row r="34" spans="1:6" ht="21.6" customHeight="1" x14ac:dyDescent="0.25">
      <c r="A34" s="23" t="s">
        <v>56</v>
      </c>
      <c r="B34" s="15">
        <v>0</v>
      </c>
      <c r="C34" s="51">
        <v>0</v>
      </c>
      <c r="D34" s="15">
        <f t="shared" si="3"/>
        <v>0</v>
      </c>
      <c r="E34" s="15">
        <v>0</v>
      </c>
    </row>
    <row r="35" spans="1:6" s="24" customFormat="1" ht="21.6" customHeight="1" x14ac:dyDescent="0.25">
      <c r="A35" s="17" t="s">
        <v>57</v>
      </c>
      <c r="B35" s="11">
        <f>B32+B33-B34</f>
        <v>-2651640.5</v>
      </c>
      <c r="C35" s="43">
        <f>C32+C33-C34</f>
        <v>-247333</v>
      </c>
      <c r="D35" s="18">
        <f t="shared" si="3"/>
        <v>2404307.5</v>
      </c>
      <c r="E35" s="18">
        <v>-130</v>
      </c>
      <c r="F35" s="1"/>
    </row>
    <row r="36" spans="1:6" ht="21.6" customHeight="1" x14ac:dyDescent="0.25">
      <c r="A36" s="23" t="s">
        <v>58</v>
      </c>
      <c r="B36" s="51">
        <v>0</v>
      </c>
      <c r="C36" s="51">
        <v>0</v>
      </c>
      <c r="D36" s="15">
        <f t="shared" si="3"/>
        <v>0</v>
      </c>
      <c r="E36" s="15">
        <v>0</v>
      </c>
    </row>
    <row r="37" spans="1:6" s="24" customFormat="1" ht="21.6" customHeight="1" x14ac:dyDescent="0.25">
      <c r="A37" s="17" t="s">
        <v>21</v>
      </c>
      <c r="B37" s="11">
        <f>B35</f>
        <v>-2651640.5</v>
      </c>
      <c r="C37" s="43">
        <f>C35</f>
        <v>-247333</v>
      </c>
      <c r="D37" s="18">
        <f t="shared" ref="D37" si="5">C37-B37</f>
        <v>2404307.5</v>
      </c>
      <c r="E37" s="18">
        <v>-130</v>
      </c>
      <c r="F37" s="1"/>
    </row>
    <row r="38" spans="1:6" x14ac:dyDescent="0.25">
      <c r="A38" s="20"/>
      <c r="B38" s="27"/>
      <c r="C38" s="27"/>
      <c r="D38" s="27"/>
      <c r="E38" s="52"/>
    </row>
    <row r="39" spans="1:6" ht="45.75" customHeight="1" x14ac:dyDescent="0.25">
      <c r="A39" s="99" t="s">
        <v>72</v>
      </c>
      <c r="B39" s="99"/>
      <c r="C39" s="99"/>
      <c r="D39" s="99"/>
      <c r="E39" s="99"/>
    </row>
  </sheetData>
  <mergeCells count="12">
    <mergeCell ref="A1:E1"/>
    <mergeCell ref="A3:A4"/>
    <mergeCell ref="B3:B4"/>
    <mergeCell ref="C3:C4"/>
    <mergeCell ref="D3:E3"/>
    <mergeCell ref="A39:E39"/>
    <mergeCell ref="A14:E14"/>
    <mergeCell ref="A19:E19"/>
    <mergeCell ref="A21:A22"/>
    <mergeCell ref="B21:B22"/>
    <mergeCell ref="C21:C22"/>
    <mergeCell ref="D21:E2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Лист1!Область_печати</vt:lpstr>
      <vt:lpstr>Лист2!Область_печати</vt:lpstr>
      <vt:lpstr>Лист3!Область_печати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BERDIYOR</cp:lastModifiedBy>
  <cp:lastPrinted>2025-08-10T07:02:27Z</cp:lastPrinted>
  <dcterms:created xsi:type="dcterms:W3CDTF">2020-06-03T08:46:25Z</dcterms:created>
  <dcterms:modified xsi:type="dcterms:W3CDTF">2025-08-11T17:32:48Z</dcterms:modified>
</cp:coreProperties>
</file>