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  <definedName name="_xlnm.Print_Area" localSheetId="3">'При №3 а'!$A$1:$R$193</definedName>
  </definedNames>
  <calcPr calcId="124519"/>
</workbook>
</file>

<file path=xl/calcChain.xml><?xml version="1.0" encoding="utf-8"?>
<calcChain xmlns="http://schemas.openxmlformats.org/spreadsheetml/2006/main">
  <c r="O19" i="5"/>
  <c r="K11" i="2" l="1"/>
  <c r="P23" i="4"/>
  <c r="P22"/>
  <c r="P21"/>
  <c r="P8"/>
  <c r="I10" i="2"/>
  <c r="J10" s="1"/>
  <c r="K10" s="1"/>
  <c r="O39" i="5"/>
  <c r="O37" s="1"/>
  <c r="E15" i="3" s="1"/>
  <c r="L9" i="7"/>
  <c r="L10"/>
  <c r="L11"/>
  <c r="L12"/>
  <c r="L13"/>
  <c r="L14"/>
  <c r="L15"/>
  <c r="L16"/>
  <c r="L17"/>
  <c r="L18"/>
  <c r="L19"/>
  <c r="L20"/>
  <c r="L8"/>
  <c r="P48" i="4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23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/>
  <c r="L45"/>
  <c r="L36"/>
  <c r="L50"/>
  <c r="L53"/>
  <c r="L48"/>
  <c r="L46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0"/>
  <c r="L183"/>
  <c r="L176"/>
  <c r="L179"/>
  <c r="K172"/>
  <c r="L172"/>
  <c r="L175"/>
  <c r="L168"/>
  <c r="B171"/>
  <c r="L171"/>
  <c r="J171"/>
  <c r="C171"/>
  <c r="C168" s="1"/>
  <c r="L164"/>
  <c r="L167"/>
  <c r="L166"/>
  <c r="L165"/>
  <c r="L161"/>
  <c r="L155"/>
  <c r="L158"/>
  <c r="L159"/>
  <c r="L156"/>
  <c r="L138"/>
  <c r="L148"/>
  <c r="L140"/>
  <c r="K183"/>
  <c r="J183"/>
  <c r="C183"/>
  <c r="B183"/>
  <c r="K180"/>
  <c r="J180"/>
  <c r="C180"/>
  <c r="B180"/>
  <c r="I179"/>
  <c r="H179"/>
  <c r="J178"/>
  <c r="K178" s="1"/>
  <c r="I178"/>
  <c r="C178"/>
  <c r="C176" s="1"/>
  <c r="B178"/>
  <c r="K177"/>
  <c r="J177"/>
  <c r="I177"/>
  <c r="I176" s="1"/>
  <c r="C177"/>
  <c r="B177"/>
  <c r="J176"/>
  <c r="H176"/>
  <c r="B176"/>
  <c r="J175"/>
  <c r="K175" s="1"/>
  <c r="I175"/>
  <c r="C175"/>
  <c r="C172" s="1"/>
  <c r="B175"/>
  <c r="K173"/>
  <c r="I173"/>
  <c r="H173"/>
  <c r="J172"/>
  <c r="I172"/>
  <c r="H172"/>
  <c r="B172"/>
  <c r="K171"/>
  <c r="K168" s="1"/>
  <c r="I171"/>
  <c r="H171"/>
  <c r="H168" s="1"/>
  <c r="B168"/>
  <c r="K169"/>
  <c r="I168"/>
  <c r="K167"/>
  <c r="K179" s="1"/>
  <c r="I167"/>
  <c r="K166"/>
  <c r="J166"/>
  <c r="C166"/>
  <c r="B166"/>
  <c r="K165"/>
  <c r="J165"/>
  <c r="C165"/>
  <c r="B165"/>
  <c r="K164"/>
  <c r="J164"/>
  <c r="I164"/>
  <c r="H164"/>
  <c r="C164"/>
  <c r="B164"/>
  <c r="K163"/>
  <c r="J163"/>
  <c r="C163"/>
  <c r="B163"/>
  <c r="K162"/>
  <c r="J162"/>
  <c r="I162"/>
  <c r="H162"/>
  <c r="C162"/>
  <c r="B162"/>
  <c r="K161"/>
  <c r="J161"/>
  <c r="I161"/>
  <c r="H161"/>
  <c r="C161"/>
  <c r="B161"/>
  <c r="K160"/>
  <c r="J160"/>
  <c r="C160"/>
  <c r="B160"/>
  <c r="K159"/>
  <c r="J159"/>
  <c r="I159"/>
  <c r="H159"/>
  <c r="C159"/>
  <c r="B159"/>
  <c r="K158"/>
  <c r="J158"/>
  <c r="I158"/>
  <c r="H158"/>
  <c r="C158"/>
  <c r="B158"/>
  <c r="K156"/>
  <c r="J156"/>
  <c r="C156"/>
  <c r="B156"/>
  <c r="K155"/>
  <c r="J155"/>
  <c r="I155"/>
  <c r="H155"/>
  <c r="C155"/>
  <c r="B155"/>
  <c r="K154"/>
  <c r="J154"/>
  <c r="C154"/>
  <c r="B154"/>
  <c r="K153"/>
  <c r="J153"/>
  <c r="I153"/>
  <c r="H153"/>
  <c r="C153"/>
  <c r="B153"/>
  <c r="K152"/>
  <c r="J152"/>
  <c r="I152"/>
  <c r="H152"/>
  <c r="C152"/>
  <c r="B152"/>
  <c r="K151"/>
  <c r="J151"/>
  <c r="I151"/>
  <c r="H151"/>
  <c r="C151"/>
  <c r="B151"/>
  <c r="K140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31" i="6"/>
  <c r="I31"/>
  <c r="H31"/>
  <c r="B41" i="4"/>
  <c r="B38"/>
  <c r="K46"/>
  <c r="B10"/>
  <c r="B18" s="1"/>
  <c r="B8" s="1"/>
  <c r="C53"/>
  <c r="C50"/>
  <c r="C48"/>
  <c r="C47"/>
  <c r="C46"/>
  <c r="C45"/>
  <c r="C42"/>
  <c r="C41"/>
  <c r="C38"/>
  <c r="C36"/>
  <c r="C35"/>
  <c r="C34"/>
  <c r="C33"/>
  <c r="C32"/>
  <c r="C31"/>
  <c r="C30"/>
  <c r="C29"/>
  <c r="C28"/>
  <c r="C26"/>
  <c r="C25"/>
  <c r="C24"/>
  <c r="C23"/>
  <c r="C22"/>
  <c r="C21"/>
  <c r="C18"/>
  <c r="C10"/>
  <c r="C8"/>
  <c r="K49"/>
  <c r="K48"/>
  <c r="K42"/>
  <c r="K45"/>
  <c r="K43"/>
  <c r="K38"/>
  <c r="K41"/>
  <c r="K39"/>
  <c r="K36"/>
  <c r="K37"/>
  <c r="K31"/>
  <c r="K33"/>
  <c r="K25"/>
  <c r="K28"/>
  <c r="K30"/>
  <c r="K29"/>
  <c r="K26"/>
  <c r="K22"/>
  <c r="K21"/>
  <c r="K18"/>
  <c r="K10"/>
  <c r="K53"/>
  <c r="K50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0"/>
  <c r="J53"/>
  <c r="J48"/>
  <c r="J45"/>
  <c r="J42" s="1"/>
  <c r="J41"/>
  <c r="J38" s="1"/>
  <c r="J33"/>
  <c r="J36"/>
  <c r="J30"/>
  <c r="J29"/>
  <c r="J28" s="1"/>
  <c r="K47"/>
  <c r="K35"/>
  <c r="K32"/>
  <c r="K24"/>
  <c r="J47"/>
  <c r="J46" s="1"/>
  <c r="J35"/>
  <c r="J34"/>
  <c r="J32"/>
  <c r="J31" s="1"/>
  <c r="J26"/>
  <c r="J24"/>
  <c r="J23"/>
  <c r="J2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P46" i="4" l="1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<sst xmlns="http://schemas.openxmlformats.org/spreadsheetml/2006/main" count="922" uniqueCount="305">
  <si>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</si>
  <si>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</si>
  <si>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</si>
  <si>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</si>
  <si>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</si>
  <si>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</si>
  <si>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</si>
  <si>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</si>
  <si>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</si>
  <si>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</si>
  <si>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</si>
  <si>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</si>
  <si>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</si>
  <si>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</si>
  <si>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</si>
  <si>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</si>
  <si>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</si>
  <si>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</si>
  <si>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</si>
  <si>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</si>
  <si>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</si>
  <si>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</si>
  <si>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</si>
  <si>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</si>
  <si>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</si>
  <si>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</si>
  <si>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</si>
  <si>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</si>
  <si>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</si>
  <si>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</si>
  <si>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</si>
  <si>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</si>
  <si>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</si>
  <si>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</si>
  <si>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</si>
  <si>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</si>
  <si>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</si>
  <si>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</si>
  <si>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</si>
  <si>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</si>
  <si>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</si>
  <si>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</si>
  <si>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</si>
  <si>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</si>
  <si>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</si>
  <si>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</si>
  <si>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</si>
  <si>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</si>
  <si>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</si>
  <si>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</si>
  <si>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</si>
  <si>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</si>
  <si>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</si>
  <si>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</si>
  <si>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</si>
  <si>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</si>
  <si>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</si>
  <si>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</si>
  <si>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</si>
  <si>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</si>
  <si>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</si>
  <si>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</si>
  <si>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</si>
  <si>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</si>
  <si>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</si>
  <si>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</si>
  <si>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</si>
  <si>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</si>
  <si>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</si>
  <si>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</si>
  <si>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</si>
  <si>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</si>
  <si>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</si>
  <si>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</si>
  <si>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</si>
  <si>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</si>
  <si>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</si>
  <si>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</si>
  <si>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</si>
  <si>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</si>
  <si>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</si>
  <si>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</si>
  <si>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</si>
  <si>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</si>
  <si>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</si>
  <si>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</si>
  <si>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</si>
  <si>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</si>
  <si>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</si>
  <si>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</si>
  <si>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</si>
  <si>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</si>
  <si>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</si>
  <si>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</si>
  <si>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</si>
  <si>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</si>
  <si>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</si>
  <si>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</si>
  <si>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</si>
  <si>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</si>
  <si>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</si>
  <si>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</si>
  <si>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</si>
  <si>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</si>
  <si>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</si>
  <si>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</si>
  <si>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</si>
  <si>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</si>
  <si>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</si>
  <si>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</si>
  <si>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</si>
  <si>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</si>
  <si>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</si>
  <si>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</si>
  <si>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</si>
  <si>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</si>
  <si>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</si>
  <si>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</si>
  <si>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</si>
  <si>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</si>
  <si>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</si>
  <si>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</si>
  <si>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</si>
  <si>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</si>
  <si>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</si>
  <si>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</si>
  <si>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</si>
  <si>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</si>
  <si>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</si>
  <si>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</si>
  <si>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</si>
  <si>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</si>
  <si>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</si>
  <si>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</si>
  <si>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</si>
  <si>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</si>
  <si>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</si>
  <si>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</si>
  <si>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</si>
  <si>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</si>
  <si>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</si>
  <si>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</si>
  <si>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</si>
  <si>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</si>
  <si>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</si>
  <si>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</si>
  <si>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</si>
  <si>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</si>
  <si>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</si>
  <si>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</si>
  <si>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</si>
  <si>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</si>
  <si>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</si>
  <si>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</si>
  <si>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</si>
  <si>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</si>
  <si>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</si>
  <si>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</si>
  <si>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</si>
  <si>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</si>
  <si>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</si>
  <si>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</si>
  <si>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</si>
  <si>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</si>
  <si>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</si>
  <si>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</si>
  <si>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</si>
  <si>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</si>
  <si>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</si>
  <si>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</si>
  <si>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</si>
  <si>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</si>
  <si>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</si>
  <si>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</si>
  <si>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</si>
  <si>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</si>
  <si>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</si>
  <si>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</si>
  <si>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</si>
  <si>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</si>
  <si>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</si>
  <si>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</si>
  <si>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</si>
  <si>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</si>
  <si>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</si>
  <si>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</si>
  <si>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</si>
  <si>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</si>
  <si>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</si>
  <si>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</si>
  <si>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</si>
  <si>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</si>
  <si>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</si>
  <si>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</si>
  <si>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</si>
  <si>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</si>
  <si>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</si>
  <si>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</si>
  <si>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</si>
  <si>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</si>
  <si>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</si>
  <si>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</si>
  <si>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</si>
  <si>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</si>
  <si>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</si>
  <si>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</si>
  <si>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</si>
  <si>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</si>
  <si>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</si>
  <si>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</si>
  <si>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</si>
  <si>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</si>
  <si>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</si>
  <si>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</si>
  <si>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</si>
  <si>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</si>
  <si>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</si>
  <si>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</si>
  <si>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</si>
  <si>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</si>
  <si>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</si>
  <si>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</si>
  <si>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</si>
  <si>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</si>
  <si>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</si>
  <si>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</si>
  <si>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</si>
  <si>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</si>
  <si>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</si>
  <si>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</si>
  <si>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</si>
  <si>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</si>
  <si>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</si>
  <si>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</si>
  <si>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</si>
  <si>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</si>
  <si>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</si>
  <si>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</si>
  <si>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</si>
  <si>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</si>
  <si>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</si>
  <si>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</si>
  <si>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</si>
  <si>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</si>
  <si>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</si>
  <si>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</si>
  <si>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</si>
  <si>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</si>
  <si>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</si>
  <si>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</si>
  <si>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</si>
  <si>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</si>
  <si>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</si>
  <si>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</si>
  <si>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</si>
  <si>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</si>
  <si>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</si>
  <si>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</si>
  <si>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</si>
  <si>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</si>
  <si>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</si>
  <si>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</si>
  <si>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</si>
  <si>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</si>
  <si>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</si>
  <si>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</si>
  <si>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</si>
  <si>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</si>
  <si>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</si>
  <si>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</si>
  <si>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</si>
  <si>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</si>
  <si>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</si>
  <si>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</si>
  <si>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</si>
  <si>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</si>
  <si>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</si>
  <si>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</si>
  <si>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</si>
  <si>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</si>
  <si>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</si>
  <si>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</si>
  <si>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</si>
  <si>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</si>
  <si>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</si>
  <si>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</si>
  <si>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</si>
  <si>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</si>
  <si>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</si>
  <si>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</si>
  <si>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</si>
  <si>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</si>
  <si>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</si>
  <si>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</si>
  <si>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</si>
  <si>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</si>
  <si>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</si>
  <si>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</si>
  <si>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</si>
  <si>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</si>
  <si>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основных ключевых показателей эффективности (за 1-кв. 2020г.)</t>
  </si>
  <si>
    <t>дополнительных ключевых показателей эффективности (за 1-кв. 2020г.)</t>
  </si>
  <si>
    <t>Факт 1-кв.2020г.</t>
  </si>
  <si>
    <t>факт 1-кв.2020г.</t>
  </si>
  <si>
    <t>(348-345)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</si>
</sst>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2" fontId="2" fillId="3" borderId="53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2" fontId="3" fillId="3" borderId="56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3" fillId="10" borderId="0" xfId="0" applyFont="1" applyFill="1" applyAlignment="1">
      <alignment horizontal="right"/>
    </xf>
    <xf numFmtId="0" fontId="1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left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4" fillId="10" borderId="5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2" fontId="2" fillId="10" borderId="7" xfId="0" applyNumberFormat="1" applyFont="1" applyFill="1" applyBorder="1" applyAlignment="1">
      <alignment horizontal="center" vertical="center" wrapText="1"/>
    </xf>
    <xf numFmtId="2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center" vertical="center" wrapText="1"/>
    </xf>
    <xf numFmtId="2" fontId="2" fillId="10" borderId="8" xfId="0" applyNumberFormat="1" applyFont="1" applyFill="1" applyBorder="1" applyAlignment="1">
      <alignment horizontal="center" vertical="center" wrapText="1"/>
    </xf>
    <xf numFmtId="164" fontId="2" fillId="10" borderId="7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 wrapText="1"/>
    </xf>
    <xf numFmtId="165" fontId="2" fillId="10" borderId="8" xfId="0" applyNumberFormat="1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2" fontId="2" fillId="10" borderId="41" xfId="0" applyNumberFormat="1" applyFont="1" applyFill="1" applyBorder="1" applyAlignment="1">
      <alignment horizontal="center" vertical="center" wrapText="1"/>
    </xf>
    <xf numFmtId="2" fontId="2" fillId="10" borderId="58" xfId="0" applyNumberFormat="1" applyFont="1" applyFill="1" applyBorder="1" applyAlignment="1">
      <alignment horizontal="center" vertical="center" wrapText="1"/>
    </xf>
    <xf numFmtId="0" fontId="2" fillId="10" borderId="61" xfId="0" applyFont="1" applyFill="1" applyBorder="1" applyAlignment="1">
      <alignment horizontal="center" vertical="center" wrapText="1"/>
    </xf>
    <xf numFmtId="0" fontId="2" fillId="10" borderId="58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left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 vertical="center" wrapText="1"/>
    </xf>
    <xf numFmtId="0" fontId="2" fillId="10" borderId="48" xfId="0" applyFont="1" applyFill="1" applyBorder="1" applyAlignment="1">
      <alignment horizontal="center"/>
    </xf>
    <xf numFmtId="0" fontId="3" fillId="10" borderId="4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0" fontId="3" fillId="10" borderId="27" xfId="0" applyFont="1" applyFill="1" applyBorder="1" applyAlignment="1">
      <alignment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12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center" wrapText="1"/>
    </xf>
    <xf numFmtId="164" fontId="2" fillId="10" borderId="53" xfId="0" applyNumberFormat="1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2" fontId="2" fillId="10" borderId="9" xfId="0" applyNumberFormat="1" applyFont="1" applyFill="1" applyBorder="1" applyAlignment="1">
      <alignment horizontal="center" vertical="center" wrapText="1"/>
    </xf>
    <xf numFmtId="2" fontId="2" fillId="10" borderId="53" xfId="0" applyNumberFormat="1" applyFont="1" applyFill="1" applyBorder="1" applyAlignment="1">
      <alignment horizontal="center" vertical="center" wrapText="1"/>
    </xf>
    <xf numFmtId="165" fontId="2" fillId="10" borderId="9" xfId="0" applyNumberFormat="1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5"/>
  <sheetViews>
    <sheetView tabSelected="1" workbookViewId="0">
      <selection activeCell="P13" sqref="P13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258" t="s">
        <v>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s="55" customFormat="1" ht="18" customHeight="1">
      <c r="A2" s="259" t="s">
        <v>244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s="55" customFormat="1" ht="18.75">
      <c r="A3" s="259" t="s">
        <v>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1:14" s="55" customFormat="1" ht="19.5" thickBo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4" s="55" customFormat="1" ht="41.25" customHeight="1" thickBot="1">
      <c r="A5" s="248" t="s">
        <v>7</v>
      </c>
      <c r="B5" s="250" t="s">
        <v>8</v>
      </c>
      <c r="C5" s="248" t="s">
        <v>185</v>
      </c>
      <c r="D5" s="253" t="s">
        <v>230</v>
      </c>
      <c r="E5" s="254"/>
      <c r="F5" s="255"/>
      <c r="G5" s="256" t="s">
        <v>292</v>
      </c>
      <c r="H5" s="260" t="s">
        <v>297</v>
      </c>
      <c r="I5" s="254"/>
      <c r="J5" s="254"/>
      <c r="K5" s="261"/>
      <c r="L5" s="248" t="s">
        <v>186</v>
      </c>
      <c r="M5" s="250" t="s">
        <v>187</v>
      </c>
      <c r="N5" s="248" t="s">
        <v>9</v>
      </c>
    </row>
    <row r="6" spans="1:14" s="55" customFormat="1" ht="50.25" customHeight="1" thickBot="1">
      <c r="A6" s="252"/>
      <c r="B6" s="251"/>
      <c r="C6" s="249"/>
      <c r="D6" s="160" t="s">
        <v>289</v>
      </c>
      <c r="E6" s="161" t="s">
        <v>290</v>
      </c>
      <c r="F6" s="162" t="s">
        <v>291</v>
      </c>
      <c r="G6" s="257"/>
      <c r="H6" s="163" t="s">
        <v>293</v>
      </c>
      <c r="I6" s="161" t="s">
        <v>294</v>
      </c>
      <c r="J6" s="161" t="s">
        <v>295</v>
      </c>
      <c r="K6" s="164" t="s">
        <v>296</v>
      </c>
      <c r="L6" s="249"/>
      <c r="M6" s="251"/>
      <c r="N6" s="249"/>
    </row>
    <row r="7" spans="1:14" s="55" customFormat="1" ht="15.75" thickBot="1">
      <c r="A7" s="237"/>
      <c r="B7" s="193" t="s">
        <v>10</v>
      </c>
      <c r="C7" s="194" t="s">
        <v>11</v>
      </c>
      <c r="D7" s="195"/>
      <c r="E7" s="66"/>
      <c r="F7" s="66"/>
      <c r="G7" s="66"/>
      <c r="H7" s="66"/>
      <c r="I7" s="66"/>
      <c r="J7" s="66"/>
      <c r="K7" s="196"/>
      <c r="L7" s="104" t="s">
        <v>13</v>
      </c>
      <c r="M7" s="236" t="s">
        <v>14</v>
      </c>
      <c r="N7" s="104" t="s">
        <v>15</v>
      </c>
    </row>
    <row r="8" spans="1:14" s="55" customFormat="1" ht="39.75" customHeight="1">
      <c r="A8" s="177" t="s">
        <v>16</v>
      </c>
      <c r="B8" s="197" t="s">
        <v>17</v>
      </c>
      <c r="C8" s="176">
        <v>10</v>
      </c>
      <c r="D8" s="198">
        <v>6340131</v>
      </c>
      <c r="E8" s="80">
        <v>1333727</v>
      </c>
      <c r="F8" s="80">
        <v>22005456</v>
      </c>
      <c r="G8" s="80">
        <v>3098755</v>
      </c>
      <c r="H8" s="80">
        <v>4345522</v>
      </c>
      <c r="I8" s="80">
        <v>8691043</v>
      </c>
      <c r="J8" s="80">
        <v>13036565</v>
      </c>
      <c r="K8" s="81">
        <v>17382087</v>
      </c>
      <c r="L8" s="67"/>
      <c r="M8" s="174"/>
      <c r="N8" s="199"/>
    </row>
    <row r="9" spans="1:14" s="55" customFormat="1" ht="26.25" customHeight="1">
      <c r="A9" s="177" t="s">
        <v>18</v>
      </c>
      <c r="B9" s="78" t="s">
        <v>19</v>
      </c>
      <c r="C9" s="76">
        <v>10</v>
      </c>
      <c r="D9" s="200">
        <v>2.5999999999999999E-2</v>
      </c>
      <c r="E9" s="39">
        <v>0.49</v>
      </c>
      <c r="F9" s="39">
        <v>3.6999999999999998E-2</v>
      </c>
      <c r="G9" s="39">
        <v>8.2000000000000003E-2</v>
      </c>
      <c r="H9" s="39">
        <v>0.04</v>
      </c>
      <c r="I9" s="39">
        <v>0.69</v>
      </c>
      <c r="J9" s="39">
        <v>0.05</v>
      </c>
      <c r="K9" s="74">
        <v>5.3999999999999999E-2</v>
      </c>
      <c r="L9" s="179"/>
      <c r="M9" s="58"/>
      <c r="N9" s="74"/>
    </row>
    <row r="10" spans="1:14" s="55" customFormat="1" ht="32.25" customHeight="1">
      <c r="A10" s="177" t="s">
        <v>20</v>
      </c>
      <c r="B10" s="78" t="s">
        <v>21</v>
      </c>
      <c r="C10" s="76">
        <v>10</v>
      </c>
      <c r="D10" s="201">
        <v>0.2</v>
      </c>
      <c r="E10" s="58">
        <v>0.39</v>
      </c>
      <c r="F10" s="58">
        <v>0.57999999999999996</v>
      </c>
      <c r="G10" s="58">
        <v>0.08</v>
      </c>
      <c r="H10" s="58">
        <v>0.1</v>
      </c>
      <c r="I10" s="58">
        <v>0.2</v>
      </c>
      <c r="J10" s="58">
        <v>0.28999999999999998</v>
      </c>
      <c r="K10" s="74">
        <v>0.36</v>
      </c>
      <c r="L10" s="179"/>
      <c r="M10" s="58"/>
      <c r="N10" s="74"/>
    </row>
    <row r="11" spans="1:14" s="55" customFormat="1" ht="27.75" customHeight="1">
      <c r="A11" s="177" t="s">
        <v>22</v>
      </c>
      <c r="B11" s="78" t="s">
        <v>23</v>
      </c>
      <c r="C11" s="76">
        <v>10</v>
      </c>
      <c r="D11" s="202">
        <v>0.2</v>
      </c>
      <c r="E11" s="53">
        <v>0.39</v>
      </c>
      <c r="F11" s="53">
        <v>0.87</v>
      </c>
      <c r="G11" s="53">
        <v>0.7</v>
      </c>
      <c r="H11" s="202">
        <v>0.2</v>
      </c>
      <c r="I11" s="53">
        <v>0.39</v>
      </c>
      <c r="J11" s="53">
        <v>0.87</v>
      </c>
      <c r="K11" s="53">
        <v>0.7</v>
      </c>
      <c r="L11" s="179"/>
      <c r="M11" s="58"/>
      <c r="N11" s="74"/>
    </row>
    <row r="12" spans="1:14" s="55" customFormat="1" ht="32.25" customHeight="1">
      <c r="A12" s="177" t="s">
        <v>24</v>
      </c>
      <c r="B12" s="78" t="s">
        <v>25</v>
      </c>
      <c r="C12" s="76">
        <v>10</v>
      </c>
      <c r="D12" s="201">
        <v>0</v>
      </c>
      <c r="E12" s="58">
        <v>0</v>
      </c>
      <c r="F12" s="58">
        <v>0</v>
      </c>
      <c r="G12" s="58">
        <v>0.16</v>
      </c>
      <c r="H12" s="58">
        <v>0</v>
      </c>
      <c r="I12" s="58">
        <v>0</v>
      </c>
      <c r="J12" s="58">
        <v>0</v>
      </c>
      <c r="K12" s="74">
        <v>0.16</v>
      </c>
      <c r="L12" s="179"/>
      <c r="M12" s="58"/>
      <c r="N12" s="74"/>
    </row>
    <row r="13" spans="1:14" s="55" customFormat="1" ht="18.75" customHeight="1">
      <c r="A13" s="177" t="s">
        <v>26</v>
      </c>
      <c r="B13" s="78" t="s">
        <v>27</v>
      </c>
      <c r="C13" s="76">
        <v>5</v>
      </c>
      <c r="D13" s="201">
        <v>5.8999999999999997E-2</v>
      </c>
      <c r="E13" s="58">
        <v>8.5999999999999993E-2</v>
      </c>
      <c r="F13" s="58">
        <v>0.13300000000000001</v>
      </c>
      <c r="G13" s="58">
        <v>8.9999999999999993E-3</v>
      </c>
      <c r="H13" s="58">
        <v>0.03</v>
      </c>
      <c r="I13" s="58">
        <v>0.45</v>
      </c>
      <c r="J13" s="58">
        <v>7.0999999999999994E-2</v>
      </c>
      <c r="K13" s="74">
        <v>9.5000000000000001E-2</v>
      </c>
      <c r="L13" s="179"/>
      <c r="M13" s="58"/>
      <c r="N13" s="74"/>
    </row>
    <row r="14" spans="1:14" s="55" customFormat="1" ht="18.75" customHeight="1">
      <c r="A14" s="177" t="s">
        <v>28</v>
      </c>
      <c r="B14" s="78" t="s">
        <v>29</v>
      </c>
      <c r="C14" s="76">
        <v>5</v>
      </c>
      <c r="D14" s="203">
        <v>5.0000000000000001E-3</v>
      </c>
      <c r="E14" s="63">
        <v>0.16500000000000001</v>
      </c>
      <c r="F14" s="63">
        <v>3.2000000000000001E-2</v>
      </c>
      <c r="G14" s="63">
        <v>1.0999999999999999E-2</v>
      </c>
      <c r="H14" s="203">
        <v>5.0000000000000001E-3</v>
      </c>
      <c r="I14" s="63">
        <v>0.16500000000000001</v>
      </c>
      <c r="J14" s="63">
        <v>3.2000000000000001E-2</v>
      </c>
      <c r="K14" s="63">
        <v>3.2000000000000001E-2</v>
      </c>
      <c r="L14" s="179"/>
      <c r="M14" s="58"/>
      <c r="N14" s="74"/>
    </row>
    <row r="15" spans="1:14" s="55" customFormat="1" ht="18.75" customHeight="1">
      <c r="A15" s="177" t="s">
        <v>30</v>
      </c>
      <c r="B15" s="78" t="s">
        <v>31</v>
      </c>
      <c r="C15" s="76">
        <v>5</v>
      </c>
      <c r="D15" s="201">
        <v>0.38</v>
      </c>
      <c r="E15" s="53">
        <v>2.02</v>
      </c>
      <c r="F15" s="58">
        <v>0.32</v>
      </c>
      <c r="G15" s="58">
        <v>0.06</v>
      </c>
      <c r="H15" s="201">
        <v>0.25</v>
      </c>
      <c r="I15" s="53">
        <v>1.35</v>
      </c>
      <c r="J15" s="58">
        <v>0.21</v>
      </c>
      <c r="K15" s="58">
        <v>0.18</v>
      </c>
      <c r="L15" s="179"/>
      <c r="M15" s="58"/>
      <c r="N15" s="74"/>
    </row>
    <row r="16" spans="1:14" s="55" customFormat="1" ht="18.75" customHeight="1">
      <c r="A16" s="177" t="s">
        <v>32</v>
      </c>
      <c r="B16" s="78" t="s">
        <v>33</v>
      </c>
      <c r="C16" s="76">
        <v>10</v>
      </c>
      <c r="D16" s="201">
        <v>25.5</v>
      </c>
      <c r="E16" s="58">
        <v>58.1</v>
      </c>
      <c r="F16" s="61">
        <v>18</v>
      </c>
      <c r="G16" s="61">
        <v>60</v>
      </c>
      <c r="H16" s="201">
        <v>30.6</v>
      </c>
      <c r="I16" s="58">
        <v>69.7</v>
      </c>
      <c r="J16" s="61">
        <v>22</v>
      </c>
      <c r="K16" s="61">
        <v>30.1</v>
      </c>
      <c r="L16" s="179"/>
      <c r="M16" s="58"/>
      <c r="N16" s="74"/>
    </row>
    <row r="17" spans="1:14" s="55" customFormat="1" ht="18.75" customHeight="1">
      <c r="A17" s="177" t="s">
        <v>34</v>
      </c>
      <c r="B17" s="78" t="s">
        <v>35</v>
      </c>
      <c r="C17" s="76">
        <v>10</v>
      </c>
      <c r="D17" s="201">
        <v>40.299999999999997</v>
      </c>
      <c r="E17" s="58">
        <v>9</v>
      </c>
      <c r="F17" s="58">
        <v>8.6</v>
      </c>
      <c r="G17" s="58">
        <v>7.8</v>
      </c>
      <c r="H17" s="201">
        <v>40.299999999999997</v>
      </c>
      <c r="I17" s="58">
        <v>9</v>
      </c>
      <c r="J17" s="58">
        <v>8.6</v>
      </c>
      <c r="K17" s="58">
        <v>8.1999999999999993</v>
      </c>
      <c r="L17" s="179"/>
      <c r="M17" s="58"/>
      <c r="N17" s="74"/>
    </row>
    <row r="18" spans="1:14" s="55" customFormat="1" ht="18.75" customHeight="1">
      <c r="A18" s="177" t="s">
        <v>36</v>
      </c>
      <c r="B18" s="78" t="s">
        <v>37</v>
      </c>
      <c r="C18" s="76">
        <v>5</v>
      </c>
      <c r="D18" s="201">
        <v>1.03</v>
      </c>
      <c r="E18" s="58">
        <v>1.05</v>
      </c>
      <c r="F18" s="58">
        <v>1.17</v>
      </c>
      <c r="G18" s="58">
        <v>1.01</v>
      </c>
      <c r="H18" s="201">
        <v>1.01</v>
      </c>
      <c r="I18" s="58">
        <v>1.03</v>
      </c>
      <c r="J18" s="58">
        <v>1.1499999999999999</v>
      </c>
      <c r="K18" s="58">
        <v>1.17</v>
      </c>
      <c r="L18" s="179"/>
      <c r="M18" s="58"/>
      <c r="N18" s="74"/>
    </row>
    <row r="19" spans="1:14" s="55" customFormat="1" ht="18.75" customHeight="1" thickBot="1">
      <c r="A19" s="182" t="s">
        <v>38</v>
      </c>
      <c r="B19" s="79" t="s">
        <v>39</v>
      </c>
      <c r="C19" s="77">
        <v>10</v>
      </c>
      <c r="D19" s="204">
        <v>0.59</v>
      </c>
      <c r="E19" s="75">
        <v>0.27</v>
      </c>
      <c r="F19" s="75">
        <v>0.17</v>
      </c>
      <c r="G19" s="159">
        <v>0.3</v>
      </c>
      <c r="H19" s="204">
        <v>0.59</v>
      </c>
      <c r="I19" s="75">
        <v>0.27</v>
      </c>
      <c r="J19" s="75">
        <v>0.17</v>
      </c>
      <c r="K19" s="75">
        <v>7.0000000000000007E-2</v>
      </c>
      <c r="L19" s="205"/>
      <c r="M19" s="75"/>
      <c r="N19" s="206"/>
    </row>
    <row r="20" spans="1:14" s="55" customFormat="1" ht="32.25" customHeight="1" thickBot="1">
      <c r="A20" s="262" t="s">
        <v>42</v>
      </c>
      <c r="B20" s="263"/>
      <c r="C20" s="104">
        <v>100</v>
      </c>
      <c r="D20" s="312"/>
      <c r="E20" s="312"/>
      <c r="F20" s="312"/>
      <c r="G20" s="195"/>
      <c r="H20" s="66"/>
      <c r="I20" s="66"/>
      <c r="J20" s="66"/>
      <c r="K20" s="66"/>
      <c r="L20" s="207"/>
      <c r="M20" s="208"/>
      <c r="N20" s="207"/>
    </row>
    <row r="21" spans="1:14" s="55" customFormat="1" ht="47.25" customHeight="1">
      <c r="A21" s="246" t="s">
        <v>188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14" s="55" customFormat="1" ht="30.75" customHeight="1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</row>
    <row r="23" spans="1:14" s="313" customFormat="1"/>
    <row r="24" spans="1:14" s="313" customFormat="1">
      <c r="A24" s="314" t="s">
        <v>4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</row>
    <row r="25" spans="1:14" s="316" customFormat="1" ht="18" customHeight="1">
      <c r="A25" s="315" t="s">
        <v>244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</row>
    <row r="26" spans="1:14" s="316" customFormat="1" ht="18.75">
      <c r="A26" s="315" t="s">
        <v>6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</row>
    <row r="27" spans="1:14" s="316" customFormat="1" ht="19.5" thickBot="1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</row>
    <row r="28" spans="1:14" s="316" customFormat="1" ht="41.25" customHeight="1" thickBot="1">
      <c r="A28" s="318" t="s">
        <v>7</v>
      </c>
      <c r="B28" s="319" t="s">
        <v>8</v>
      </c>
      <c r="C28" s="318" t="s">
        <v>185</v>
      </c>
      <c r="D28" s="320" t="s">
        <v>230</v>
      </c>
      <c r="E28" s="321"/>
      <c r="F28" s="322"/>
      <c r="G28" s="323" t="s">
        <v>299</v>
      </c>
      <c r="H28" s="324" t="s">
        <v>287</v>
      </c>
      <c r="I28" s="321"/>
      <c r="J28" s="321"/>
      <c r="K28" s="325"/>
      <c r="L28" s="318" t="s">
        <v>186</v>
      </c>
      <c r="M28" s="319" t="s">
        <v>187</v>
      </c>
      <c r="N28" s="318" t="s">
        <v>9</v>
      </c>
    </row>
    <row r="29" spans="1:14" s="316" customFormat="1" ht="50.25" customHeight="1" thickBot="1">
      <c r="A29" s="326"/>
      <c r="B29" s="327"/>
      <c r="C29" s="328"/>
      <c r="D29" s="329" t="s">
        <v>281</v>
      </c>
      <c r="E29" s="330" t="s">
        <v>282</v>
      </c>
      <c r="F29" s="331" t="s">
        <v>283</v>
      </c>
      <c r="G29" s="332"/>
      <c r="H29" s="333" t="s">
        <v>289</v>
      </c>
      <c r="I29" s="330" t="s">
        <v>290</v>
      </c>
      <c r="J29" s="330" t="s">
        <v>291</v>
      </c>
      <c r="K29" s="334" t="s">
        <v>298</v>
      </c>
      <c r="L29" s="328"/>
      <c r="M29" s="327"/>
      <c r="N29" s="328"/>
    </row>
    <row r="30" spans="1:14" s="316" customFormat="1" ht="15.75" thickBot="1">
      <c r="A30" s="335"/>
      <c r="B30" s="336" t="s">
        <v>10</v>
      </c>
      <c r="C30" s="337" t="s">
        <v>11</v>
      </c>
      <c r="D30" s="338"/>
      <c r="E30" s="339"/>
      <c r="F30" s="339"/>
      <c r="G30" s="339"/>
      <c r="H30" s="339"/>
      <c r="I30" s="339"/>
      <c r="J30" s="339"/>
      <c r="K30" s="340"/>
      <c r="L30" s="341" t="s">
        <v>13</v>
      </c>
      <c r="M30" s="342" t="s">
        <v>14</v>
      </c>
      <c r="N30" s="341" t="s">
        <v>15</v>
      </c>
    </row>
    <row r="31" spans="1:14" s="316" customFormat="1" ht="39.75" customHeight="1">
      <c r="A31" s="343" t="s">
        <v>16</v>
      </c>
      <c r="B31" s="344" t="s">
        <v>17</v>
      </c>
      <c r="C31" s="345">
        <v>10</v>
      </c>
      <c r="D31" s="346">
        <v>5872265</v>
      </c>
      <c r="E31" s="347">
        <v>2424325</v>
      </c>
      <c r="F31" s="347">
        <v>3633260</v>
      </c>
      <c r="G31" s="347">
        <v>2951195</v>
      </c>
      <c r="H31" s="347">
        <f>590036*1.05</f>
        <v>619537.80000000005</v>
      </c>
      <c r="I31" s="347">
        <f>1727390*1.05</f>
        <v>1813759.5</v>
      </c>
      <c r="J31" s="347">
        <f>2469678*1.05</f>
        <v>2593161.9</v>
      </c>
      <c r="K31" s="348">
        <v>2951195</v>
      </c>
      <c r="L31" s="349"/>
      <c r="M31" s="350"/>
      <c r="N31" s="351"/>
    </row>
    <row r="32" spans="1:14" s="316" customFormat="1" ht="26.25" customHeight="1">
      <c r="A32" s="343" t="s">
        <v>18</v>
      </c>
      <c r="B32" s="352" t="s">
        <v>19</v>
      </c>
      <c r="C32" s="353">
        <v>10</v>
      </c>
      <c r="D32" s="354">
        <v>8.4000000000000005E-2</v>
      </c>
      <c r="E32" s="355">
        <v>0.13</v>
      </c>
      <c r="F32" s="355">
        <v>0.11799999999999999</v>
      </c>
      <c r="G32" s="355">
        <v>8.2000000000000003E-2</v>
      </c>
      <c r="H32" s="355">
        <v>9.7000000000000003E-2</v>
      </c>
      <c r="I32" s="355">
        <v>8.3000000000000004E-2</v>
      </c>
      <c r="J32" s="355">
        <v>8.2000000000000003E-2</v>
      </c>
      <c r="K32" s="356">
        <v>8.2000000000000003E-2</v>
      </c>
      <c r="L32" s="357"/>
      <c r="M32" s="358"/>
      <c r="N32" s="356"/>
    </row>
    <row r="33" spans="1:14" s="316" customFormat="1" ht="32.25" customHeight="1">
      <c r="A33" s="343" t="s">
        <v>20</v>
      </c>
      <c r="B33" s="352" t="s">
        <v>21</v>
      </c>
      <c r="C33" s="353">
        <v>10</v>
      </c>
      <c r="D33" s="359">
        <v>0.26</v>
      </c>
      <c r="E33" s="358">
        <v>0.14000000000000001</v>
      </c>
      <c r="F33" s="358">
        <v>0.15</v>
      </c>
      <c r="G33" s="358">
        <v>0.08</v>
      </c>
      <c r="H33" s="358">
        <v>0.02</v>
      </c>
      <c r="I33" s="358">
        <v>0.04</v>
      </c>
      <c r="J33" s="358">
        <v>0.06</v>
      </c>
      <c r="K33" s="356">
        <v>0.08</v>
      </c>
      <c r="L33" s="357"/>
      <c r="M33" s="358"/>
      <c r="N33" s="356"/>
    </row>
    <row r="34" spans="1:14" s="316" customFormat="1" ht="27.75" customHeight="1">
      <c r="A34" s="343" t="s">
        <v>22</v>
      </c>
      <c r="B34" s="352" t="s">
        <v>23</v>
      </c>
      <c r="C34" s="353">
        <v>10</v>
      </c>
      <c r="D34" s="360">
        <v>2.48</v>
      </c>
      <c r="E34" s="361">
        <v>1.78</v>
      </c>
      <c r="F34" s="361">
        <v>1.91</v>
      </c>
      <c r="G34" s="361">
        <v>1.5</v>
      </c>
      <c r="H34" s="362">
        <v>0.18</v>
      </c>
      <c r="I34" s="361">
        <v>0.35</v>
      </c>
      <c r="J34" s="361">
        <v>0.53</v>
      </c>
      <c r="K34" s="363">
        <v>1.5</v>
      </c>
      <c r="L34" s="357"/>
      <c r="M34" s="358"/>
      <c r="N34" s="356"/>
    </row>
    <row r="35" spans="1:14" s="316" customFormat="1" ht="32.25" customHeight="1">
      <c r="A35" s="343" t="s">
        <v>24</v>
      </c>
      <c r="B35" s="352" t="s">
        <v>25</v>
      </c>
      <c r="C35" s="353">
        <v>10</v>
      </c>
      <c r="D35" s="359">
        <v>1.24</v>
      </c>
      <c r="E35" s="358">
        <v>1.24</v>
      </c>
      <c r="F35" s="358">
        <v>0</v>
      </c>
      <c r="G35" s="358">
        <v>0.16</v>
      </c>
      <c r="H35" s="358">
        <v>0</v>
      </c>
      <c r="I35" s="358">
        <v>0</v>
      </c>
      <c r="J35" s="358">
        <v>0</v>
      </c>
      <c r="K35" s="356">
        <v>0.16</v>
      </c>
      <c r="L35" s="357"/>
      <c r="M35" s="358"/>
      <c r="N35" s="356"/>
    </row>
    <row r="36" spans="1:14" s="316" customFormat="1" ht="18.75" customHeight="1">
      <c r="A36" s="343" t="s">
        <v>26</v>
      </c>
      <c r="B36" s="352" t="s">
        <v>27</v>
      </c>
      <c r="C36" s="353">
        <v>5</v>
      </c>
      <c r="D36" s="359">
        <v>0.03</v>
      </c>
      <c r="E36" s="358">
        <v>0.02</v>
      </c>
      <c r="F36" s="358">
        <v>0.03</v>
      </c>
      <c r="G36" s="358">
        <v>8.9999999999999993E-3</v>
      </c>
      <c r="H36" s="358">
        <v>3.0000000000000001E-3</v>
      </c>
      <c r="I36" s="358">
        <v>5.0000000000000001E-3</v>
      </c>
      <c r="J36" s="358">
        <v>7.0000000000000001E-3</v>
      </c>
      <c r="K36" s="356">
        <v>8.9999999999999993E-3</v>
      </c>
      <c r="L36" s="357"/>
      <c r="M36" s="358"/>
      <c r="N36" s="356"/>
    </row>
    <row r="37" spans="1:14" s="316" customFormat="1" ht="18.75" customHeight="1">
      <c r="A37" s="343" t="s">
        <v>28</v>
      </c>
      <c r="B37" s="352" t="s">
        <v>29</v>
      </c>
      <c r="C37" s="353">
        <v>5</v>
      </c>
      <c r="D37" s="364">
        <v>0.03</v>
      </c>
      <c r="E37" s="365">
        <v>0.02</v>
      </c>
      <c r="F37" s="365">
        <v>5.0000000000000001E-3</v>
      </c>
      <c r="G37" s="365">
        <v>1.0999999999999999E-2</v>
      </c>
      <c r="H37" s="365">
        <v>1.7000000000000001E-2</v>
      </c>
      <c r="I37" s="365">
        <v>1.4999999999999999E-2</v>
      </c>
      <c r="J37" s="365">
        <v>1.2999999999999999E-2</v>
      </c>
      <c r="K37" s="366">
        <v>1.0999999999999999E-2</v>
      </c>
      <c r="L37" s="357"/>
      <c r="M37" s="358"/>
      <c r="N37" s="356"/>
    </row>
    <row r="38" spans="1:14" s="316" customFormat="1" ht="18.75" customHeight="1">
      <c r="A38" s="343" t="s">
        <v>30</v>
      </c>
      <c r="B38" s="352" t="s">
        <v>31</v>
      </c>
      <c r="C38" s="353">
        <v>5</v>
      </c>
      <c r="D38" s="359">
        <v>0.13</v>
      </c>
      <c r="E38" s="361">
        <v>0.12</v>
      </c>
      <c r="F38" s="358">
        <v>0.1</v>
      </c>
      <c r="G38" s="358">
        <v>0.06</v>
      </c>
      <c r="H38" s="358">
        <v>0.12</v>
      </c>
      <c r="I38" s="361">
        <v>0.1</v>
      </c>
      <c r="J38" s="358">
        <v>0.08</v>
      </c>
      <c r="K38" s="356">
        <v>0.06</v>
      </c>
      <c r="L38" s="357"/>
      <c r="M38" s="358"/>
      <c r="N38" s="356"/>
    </row>
    <row r="39" spans="1:14" s="316" customFormat="1" ht="18.75" customHeight="1">
      <c r="A39" s="343" t="s">
        <v>32</v>
      </c>
      <c r="B39" s="352" t="s">
        <v>33</v>
      </c>
      <c r="C39" s="353">
        <v>10</v>
      </c>
      <c r="D39" s="359">
        <v>37.6</v>
      </c>
      <c r="E39" s="358">
        <v>104.3</v>
      </c>
      <c r="F39" s="362">
        <v>86</v>
      </c>
      <c r="G39" s="362">
        <v>60</v>
      </c>
      <c r="H39" s="358">
        <v>190.8</v>
      </c>
      <c r="I39" s="358">
        <v>120.3</v>
      </c>
      <c r="J39" s="362">
        <v>69</v>
      </c>
      <c r="K39" s="367">
        <v>60</v>
      </c>
      <c r="L39" s="357"/>
      <c r="M39" s="358"/>
      <c r="N39" s="356"/>
    </row>
    <row r="40" spans="1:14" s="316" customFormat="1" ht="18.75" customHeight="1">
      <c r="A40" s="343" t="s">
        <v>34</v>
      </c>
      <c r="B40" s="352" t="s">
        <v>35</v>
      </c>
      <c r="C40" s="353">
        <v>10</v>
      </c>
      <c r="D40" s="359">
        <v>15.7</v>
      </c>
      <c r="E40" s="358">
        <v>38.799999999999997</v>
      </c>
      <c r="F40" s="358">
        <v>21.7</v>
      </c>
      <c r="G40" s="358">
        <v>7.8</v>
      </c>
      <c r="H40" s="358">
        <v>75.8</v>
      </c>
      <c r="I40" s="358">
        <v>32.299999999999997</v>
      </c>
      <c r="J40" s="358">
        <v>10.4</v>
      </c>
      <c r="K40" s="356">
        <v>7.8</v>
      </c>
      <c r="L40" s="357"/>
      <c r="M40" s="358"/>
      <c r="N40" s="356"/>
    </row>
    <row r="41" spans="1:14" s="316" customFormat="1" ht="18.75" customHeight="1">
      <c r="A41" s="343" t="s">
        <v>36</v>
      </c>
      <c r="B41" s="352" t="s">
        <v>37</v>
      </c>
      <c r="C41" s="353">
        <v>5</v>
      </c>
      <c r="D41" s="359">
        <v>1</v>
      </c>
      <c r="E41" s="358">
        <v>0.95</v>
      </c>
      <c r="F41" s="358">
        <v>0.96</v>
      </c>
      <c r="G41" s="358">
        <v>1.01</v>
      </c>
      <c r="H41" s="358">
        <v>1.1200000000000001</v>
      </c>
      <c r="I41" s="358">
        <v>1.1100000000000001</v>
      </c>
      <c r="J41" s="358">
        <v>1.02</v>
      </c>
      <c r="K41" s="356">
        <v>1.01</v>
      </c>
      <c r="L41" s="357"/>
      <c r="M41" s="358"/>
      <c r="N41" s="356"/>
    </row>
    <row r="42" spans="1:14" s="316" customFormat="1" ht="18.75" customHeight="1" thickBot="1">
      <c r="A42" s="368" t="s">
        <v>38</v>
      </c>
      <c r="B42" s="369" t="s">
        <v>39</v>
      </c>
      <c r="C42" s="370">
        <v>10</v>
      </c>
      <c r="D42" s="371">
        <v>0</v>
      </c>
      <c r="E42" s="372">
        <v>0</v>
      </c>
      <c r="F42" s="372">
        <v>0</v>
      </c>
      <c r="G42" s="373">
        <v>0.3</v>
      </c>
      <c r="H42" s="372">
        <v>0.16</v>
      </c>
      <c r="I42" s="372">
        <v>0.16</v>
      </c>
      <c r="J42" s="372">
        <v>0.16</v>
      </c>
      <c r="K42" s="374">
        <v>0.3</v>
      </c>
      <c r="L42" s="375"/>
      <c r="M42" s="372"/>
      <c r="N42" s="376"/>
    </row>
    <row r="43" spans="1:14" s="316" customFormat="1" ht="32.25" customHeight="1" thickBot="1">
      <c r="A43" s="377" t="s">
        <v>42</v>
      </c>
      <c r="B43" s="378"/>
      <c r="C43" s="341">
        <v>100</v>
      </c>
      <c r="D43" s="338"/>
      <c r="E43" s="339"/>
      <c r="F43" s="339"/>
      <c r="G43" s="339"/>
      <c r="H43" s="339"/>
      <c r="I43" s="339"/>
      <c r="J43" s="339"/>
      <c r="K43" s="340"/>
      <c r="L43" s="379"/>
      <c r="M43" s="380"/>
      <c r="N43" s="379"/>
    </row>
    <row r="44" spans="1:14" s="316" customFormat="1" ht="47.25" customHeight="1">
      <c r="A44" s="381" t="s">
        <v>188</v>
      </c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</row>
    <row r="45" spans="1:14" s="313" customFormat="1"/>
  </sheetData>
  <mergeCells count="29">
    <mergeCell ref="A20:B20"/>
    <mergeCell ref="A21:N21"/>
    <mergeCell ref="A22:N22"/>
    <mergeCell ref="A1:N1"/>
    <mergeCell ref="A2:N2"/>
    <mergeCell ref="A3:N3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A24:N24"/>
    <mergeCell ref="A25:N25"/>
    <mergeCell ref="A26:N26"/>
    <mergeCell ref="H28:K28"/>
    <mergeCell ref="A43:B43"/>
    <mergeCell ref="A44:N44"/>
    <mergeCell ref="L28:L29"/>
    <mergeCell ref="M28:M29"/>
    <mergeCell ref="N28:N29"/>
    <mergeCell ref="C28:C29"/>
    <mergeCell ref="B28:B29"/>
    <mergeCell ref="A28:A29"/>
    <mergeCell ref="D28:F28"/>
    <mergeCell ref="G28:G29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I11" sqref="I11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258" t="s">
        <v>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>
      <c r="A2" s="258" t="s">
        <v>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s="55" customFormat="1" ht="18" customHeight="1">
      <c r="A3" s="259" t="s">
        <v>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s="55" customFormat="1" ht="19.5" customHeight="1">
      <c r="A4" s="259" t="s">
        <v>300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s="55" customFormat="1" ht="53.25" customHeight="1">
      <c r="A5" s="210" t="s">
        <v>7</v>
      </c>
      <c r="B5" s="210" t="s">
        <v>8</v>
      </c>
      <c r="C5" s="210" t="s">
        <v>185</v>
      </c>
      <c r="D5" s="210" t="s">
        <v>233</v>
      </c>
      <c r="E5" s="210" t="s">
        <v>234</v>
      </c>
      <c r="F5" s="210" t="s">
        <v>235</v>
      </c>
      <c r="G5" s="210" t="s">
        <v>236</v>
      </c>
      <c r="H5" s="210" t="s">
        <v>224</v>
      </c>
      <c r="I5" s="210" t="s">
        <v>186</v>
      </c>
      <c r="J5" s="210" t="s">
        <v>187</v>
      </c>
      <c r="K5" s="210" t="s">
        <v>9</v>
      </c>
    </row>
    <row r="6" spans="1:11" s="55" customFormat="1">
      <c r="A6" s="240"/>
      <c r="B6" s="240" t="s">
        <v>10</v>
      </c>
      <c r="C6" s="240" t="s">
        <v>11</v>
      </c>
      <c r="D6" s="240"/>
      <c r="E6" s="240"/>
      <c r="F6" s="240"/>
      <c r="G6" s="240"/>
      <c r="H6" s="240" t="s">
        <v>12</v>
      </c>
      <c r="I6" s="240" t="s">
        <v>13</v>
      </c>
      <c r="J6" s="240" t="s">
        <v>14</v>
      </c>
      <c r="K6" s="240" t="s">
        <v>15</v>
      </c>
    </row>
    <row r="7" spans="1:11" s="55" customFormat="1" ht="30" customHeight="1">
      <c r="A7" s="241" t="s">
        <v>16</v>
      </c>
      <c r="B7" s="38" t="s">
        <v>17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242">
        <v>4345522</v>
      </c>
      <c r="I7" s="68">
        <f>'При №3 а'!P8</f>
        <v>5254814</v>
      </c>
      <c r="J7" s="59">
        <f>I7/H7*100</f>
        <v>120.924804891104</v>
      </c>
      <c r="K7" s="59">
        <f>J7*C7/100</f>
        <v>12.0924804891104</v>
      </c>
    </row>
    <row r="8" spans="1:11" s="55" customFormat="1" ht="22.5" customHeight="1">
      <c r="A8" s="241" t="s">
        <v>18</v>
      </c>
      <c r="B8" s="38" t="s">
        <v>19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28">
        <v>0.04</v>
      </c>
      <c r="I8" s="60">
        <f>'При №3 а'!P21</f>
        <v>3.1490228281759874E-2</v>
      </c>
      <c r="J8" s="61">
        <f>H8/I8*100</f>
        <v>127.0235313701084</v>
      </c>
      <c r="K8" s="59">
        <f>J8*C8/100</f>
        <v>12.70235313701084</v>
      </c>
    </row>
    <row r="9" spans="1:11" s="55" customFormat="1" ht="30" customHeight="1">
      <c r="A9" s="241" t="s">
        <v>20</v>
      </c>
      <c r="B9" s="38" t="s">
        <v>21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28">
        <v>0.1</v>
      </c>
      <c r="I9" s="28">
        <f>'При №3 а'!P22</f>
        <v>8.0437122286540708E-2</v>
      </c>
      <c r="J9" s="59">
        <f t="shared" ref="J9:J18" si="0">I9/H9*100</f>
        <v>80.437122286540713</v>
      </c>
      <c r="K9" s="59">
        <f t="shared" ref="K9:K18" si="1">J9*C9/100</f>
        <v>8.043712228654071</v>
      </c>
    </row>
    <row r="10" spans="1:11" s="55" customFormat="1" ht="20.25" customHeight="1">
      <c r="A10" s="241" t="s">
        <v>22</v>
      </c>
      <c r="B10" s="38" t="s">
        <v>23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28">
        <v>0.2</v>
      </c>
      <c r="I10" s="62">
        <f>'При №3 а'!P23</f>
        <v>8.0437122286540708E-2</v>
      </c>
      <c r="J10" s="59">
        <f t="shared" si="0"/>
        <v>40.218561143270357</v>
      </c>
      <c r="K10" s="59">
        <f t="shared" si="1"/>
        <v>4.0218561143270355</v>
      </c>
    </row>
    <row r="11" spans="1:11" s="55" customFormat="1" ht="20.25" customHeight="1">
      <c r="A11" s="241" t="s">
        <v>24</v>
      </c>
      <c r="B11" s="38" t="s">
        <v>25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28">
        <v>0</v>
      </c>
      <c r="I11" s="62">
        <f>'При №3 а'!P24</f>
        <v>0</v>
      </c>
      <c r="J11" s="59">
        <v>100</v>
      </c>
      <c r="K11" s="59">
        <f t="shared" si="1"/>
        <v>10</v>
      </c>
    </row>
    <row r="12" spans="1:11" s="55" customFormat="1" ht="20.25" customHeight="1">
      <c r="A12" s="241" t="s">
        <v>26</v>
      </c>
      <c r="B12" s="38" t="s">
        <v>27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28">
        <v>0.03</v>
      </c>
      <c r="I12" s="60">
        <f>'При №3 а'!P25</f>
        <v>3.7583131196815417E-2</v>
      </c>
      <c r="J12" s="59">
        <f t="shared" si="0"/>
        <v>125.27710398938471</v>
      </c>
      <c r="K12" s="59">
        <f t="shared" si="1"/>
        <v>6.2638551994692353</v>
      </c>
    </row>
    <row r="13" spans="1:11" s="55" customFormat="1" ht="20.25" customHeight="1">
      <c r="A13" s="241" t="s">
        <v>28</v>
      </c>
      <c r="B13" s="38" t="s">
        <v>29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28">
        <v>5.0000000000000001E-3</v>
      </c>
      <c r="I13" s="60">
        <f>'При №3 а'!P31</f>
        <v>6.5509488647563828E-3</v>
      </c>
      <c r="J13" s="59">
        <f t="shared" si="0"/>
        <v>131.01897729512766</v>
      </c>
      <c r="K13" s="59">
        <f t="shared" si="1"/>
        <v>6.5509488647563829</v>
      </c>
    </row>
    <row r="14" spans="1:11" s="55" customFormat="1" ht="20.25" customHeight="1">
      <c r="A14" s="241" t="s">
        <v>30</v>
      </c>
      <c r="B14" s="38" t="s">
        <v>31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28">
        <v>0.25</v>
      </c>
      <c r="I14" s="62">
        <f>'При №3 а'!P34</f>
        <v>0.60798519899744441</v>
      </c>
      <c r="J14" s="59">
        <f t="shared" si="0"/>
        <v>243.19407959897777</v>
      </c>
      <c r="K14" s="59">
        <f t="shared" si="1"/>
        <v>12.159703979948889</v>
      </c>
    </row>
    <row r="15" spans="1:11" s="55" customFormat="1" ht="20.25" customHeight="1">
      <c r="A15" s="241" t="s">
        <v>32</v>
      </c>
      <c r="B15" s="38" t="s">
        <v>33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28">
        <v>30.6</v>
      </c>
      <c r="I15" s="61">
        <f>'При №3 а'!P38</f>
        <v>33.596661609100821</v>
      </c>
      <c r="J15" s="59">
        <f>H15/I15*100</f>
        <v>91.080478042827124</v>
      </c>
      <c r="K15" s="59">
        <f t="shared" si="1"/>
        <v>9.1080478042827124</v>
      </c>
    </row>
    <row r="16" spans="1:11" s="55" customFormat="1" ht="20.25" customHeight="1">
      <c r="A16" s="241" t="s">
        <v>34</v>
      </c>
      <c r="B16" s="38" t="s">
        <v>35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28">
        <v>40.299999999999997</v>
      </c>
      <c r="I16" s="61">
        <f>'При №3 а'!P42</f>
        <v>35.898274407060818</v>
      </c>
      <c r="J16" s="59">
        <f>H16/I16*100</f>
        <v>112.26166345219481</v>
      </c>
      <c r="K16" s="59">
        <f t="shared" si="1"/>
        <v>11.226166345219481</v>
      </c>
    </row>
    <row r="17" spans="1:11" s="55" customFormat="1" ht="20.25" customHeight="1">
      <c r="A17" s="241" t="s">
        <v>36</v>
      </c>
      <c r="B17" s="38" t="s">
        <v>37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28">
        <v>1.01</v>
      </c>
      <c r="I17" s="53">
        <f>'При №3 а'!P46</f>
        <v>1.2302448243453272</v>
      </c>
      <c r="J17" s="59">
        <f t="shared" si="0"/>
        <v>121.80641825201259</v>
      </c>
      <c r="K17" s="59">
        <f t="shared" si="1"/>
        <v>6.0903209126006299</v>
      </c>
    </row>
    <row r="18" spans="1:11" s="55" customFormat="1" ht="20.25" customHeight="1">
      <c r="A18" s="241" t="s">
        <v>38</v>
      </c>
      <c r="B18" s="38" t="s">
        <v>39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28">
        <v>0.59</v>
      </c>
      <c r="I18" s="53">
        <f>'При №3 а'!P50</f>
        <v>0.29994346019218276</v>
      </c>
      <c r="J18" s="59">
        <f t="shared" si="0"/>
        <v>50.837874608844537</v>
      </c>
      <c r="K18" s="59">
        <f t="shared" si="1"/>
        <v>5.0837874608844542</v>
      </c>
    </row>
    <row r="19" spans="1:11" s="55" customFormat="1" ht="21.75" customHeight="1">
      <c r="A19" s="265" t="s">
        <v>42</v>
      </c>
      <c r="B19" s="265"/>
      <c r="C19" s="240">
        <v>100</v>
      </c>
      <c r="D19" s="240"/>
      <c r="E19" s="240"/>
      <c r="F19" s="240"/>
      <c r="G19" s="240"/>
      <c r="H19" s="58"/>
      <c r="I19" s="58"/>
      <c r="J19" s="58"/>
      <c r="K19" s="59">
        <f>SUM(K7:K18)</f>
        <v>103.34323253626414</v>
      </c>
    </row>
    <row r="20" spans="1:11" s="55" customFormat="1" ht="25.5" customHeight="1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</row>
    <row r="21" spans="1:11" s="64" customFormat="1" ht="18.75">
      <c r="B21" s="64" t="s">
        <v>274</v>
      </c>
      <c r="C21" s="65"/>
    </row>
    <row r="22" spans="1:11" s="64" customFormat="1" ht="18.75">
      <c r="B22" s="64" t="s">
        <v>284</v>
      </c>
      <c r="C22" s="264" t="s">
        <v>275</v>
      </c>
      <c r="D22" s="264"/>
      <c r="E22" s="264"/>
      <c r="F22" s="264"/>
      <c r="G22" s="264"/>
      <c r="H22" s="264"/>
      <c r="I22" s="264"/>
      <c r="J22" s="264"/>
    </row>
    <row r="23" spans="1:11" s="64" customFormat="1" ht="18.75">
      <c r="C23" s="213"/>
      <c r="D23" s="213"/>
      <c r="E23" s="213"/>
      <c r="F23" s="213"/>
    </row>
    <row r="24" spans="1:11" s="64" customFormat="1" ht="18.75">
      <c r="B24" s="64" t="s">
        <v>276</v>
      </c>
      <c r="C24" s="264" t="s">
        <v>255</v>
      </c>
      <c r="D24" s="264"/>
      <c r="E24" s="264"/>
      <c r="F24" s="264"/>
      <c r="G24" s="264"/>
      <c r="H24" s="264"/>
      <c r="I24" s="264"/>
      <c r="J24" s="264"/>
    </row>
    <row r="25" spans="1:11" s="64" customFormat="1" ht="18.75">
      <c r="C25" s="65"/>
    </row>
    <row r="26" spans="1:11" s="64" customFormat="1" ht="18.75">
      <c r="B26" s="64" t="s">
        <v>285</v>
      </c>
      <c r="C26" s="264" t="s">
        <v>286</v>
      </c>
      <c r="D26" s="264"/>
      <c r="E26" s="264"/>
      <c r="F26" s="264"/>
      <c r="G26" s="264"/>
      <c r="H26" s="264"/>
      <c r="I26" s="264"/>
    </row>
    <row r="34" spans="1:11">
      <c r="A34" s="258" t="s">
        <v>3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</row>
    <row r="35" spans="1:11">
      <c r="A35" s="258" t="s">
        <v>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s="55" customFormat="1" ht="18" customHeight="1">
      <c r="A36" s="259" t="s">
        <v>5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</row>
    <row r="37" spans="1:11" s="55" customFormat="1" ht="19.5" thickBot="1">
      <c r="A37" s="259" t="s">
        <v>257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</row>
    <row r="38" spans="1:11" s="55" customFormat="1" ht="53.25" customHeight="1" thickBot="1">
      <c r="A38" s="166" t="s">
        <v>7</v>
      </c>
      <c r="B38" s="166" t="s">
        <v>8</v>
      </c>
      <c r="C38" s="210" t="s">
        <v>185</v>
      </c>
      <c r="D38" s="210" t="s">
        <v>233</v>
      </c>
      <c r="E38" s="210" t="s">
        <v>234</v>
      </c>
      <c r="F38" s="210" t="s">
        <v>235</v>
      </c>
      <c r="G38" s="210" t="s">
        <v>236</v>
      </c>
      <c r="H38" s="210" t="s">
        <v>224</v>
      </c>
      <c r="I38" s="209" t="s">
        <v>186</v>
      </c>
      <c r="J38" s="104" t="s">
        <v>187</v>
      </c>
      <c r="K38" s="165" t="s">
        <v>9</v>
      </c>
    </row>
    <row r="39" spans="1:11" s="55" customFormat="1" ht="15.75" thickBot="1">
      <c r="A39" s="166"/>
      <c r="B39" s="166" t="s">
        <v>10</v>
      </c>
      <c r="C39" s="210" t="s">
        <v>11</v>
      </c>
      <c r="D39" s="210"/>
      <c r="E39" s="210"/>
      <c r="F39" s="210"/>
      <c r="G39" s="210"/>
      <c r="H39" s="210" t="s">
        <v>12</v>
      </c>
      <c r="I39" s="209" t="s">
        <v>13</v>
      </c>
      <c r="J39" s="104" t="s">
        <v>14</v>
      </c>
      <c r="K39" s="165" t="s">
        <v>15</v>
      </c>
    </row>
    <row r="40" spans="1:11" s="55" customFormat="1" ht="30" customHeight="1" thickBot="1">
      <c r="A40" s="215" t="s">
        <v>16</v>
      </c>
      <c r="B40" s="216" t="s">
        <v>17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2">
        <f>590036*1.05</f>
        <v>619537.80000000005</v>
      </c>
      <c r="I40" s="152">
        <v>1183400</v>
      </c>
      <c r="J40" s="59">
        <f>I40/H40*100</f>
        <v>191.01336512477528</v>
      </c>
      <c r="K40" s="217">
        <f>J40*C40/100</f>
        <v>19.101336512477527</v>
      </c>
    </row>
    <row r="41" spans="1:11" s="55" customFormat="1" ht="22.5" customHeight="1" thickBot="1">
      <c r="A41" s="218" t="s">
        <v>18</v>
      </c>
      <c r="B41" s="219" t="s">
        <v>19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20">
        <f>7655452/91068655</f>
        <v>8.4062425210957595E-2</v>
      </c>
      <c r="J41" s="61">
        <f>I41/H41*100</f>
        <v>102.51515269628975</v>
      </c>
      <c r="K41" s="217">
        <f t="shared" ref="K41:K51" si="2">J41*C41/100</f>
        <v>10.251515269628975</v>
      </c>
    </row>
    <row r="42" spans="1:11" s="55" customFormat="1" ht="30" customHeight="1" thickBot="1">
      <c r="A42" s="218" t="s">
        <v>20</v>
      </c>
      <c r="B42" s="219" t="s">
        <v>21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17">
        <f t="shared" si="2"/>
        <v>32.459486476016906</v>
      </c>
    </row>
    <row r="43" spans="1:11" s="55" customFormat="1" ht="20.25" customHeight="1" thickBot="1">
      <c r="A43" s="218" t="s">
        <v>22</v>
      </c>
      <c r="B43" s="219" t="s">
        <v>23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21">
        <f t="shared" si="2"/>
        <v>354.25328770154141</v>
      </c>
    </row>
    <row r="44" spans="1:11" s="55" customFormat="1" ht="20.25" customHeight="1" thickBot="1">
      <c r="A44" s="218" t="s">
        <v>24</v>
      </c>
      <c r="B44" s="219" t="s">
        <v>25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21">
        <f t="shared" si="2"/>
        <v>77.5</v>
      </c>
    </row>
    <row r="45" spans="1:11" s="55" customFormat="1" ht="20.25" customHeight="1" thickBot="1">
      <c r="A45" s="218" t="s">
        <v>26</v>
      </c>
      <c r="B45" s="219" t="s">
        <v>27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17">
        <f t="shared" si="2"/>
        <v>16.666666666666671</v>
      </c>
    </row>
    <row r="46" spans="1:11" s="55" customFormat="1" ht="20.25" customHeight="1" thickBot="1">
      <c r="A46" s="218" t="s">
        <v>28</v>
      </c>
      <c r="B46" s="219" t="s">
        <v>29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17">
        <f t="shared" si="2"/>
        <v>1.3636363636363635</v>
      </c>
    </row>
    <row r="47" spans="1:11" s="55" customFormat="1" ht="20.25" customHeight="1" thickBot="1">
      <c r="A47" s="218" t="s">
        <v>30</v>
      </c>
      <c r="B47" s="219" t="s">
        <v>31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17">
        <f t="shared" si="2"/>
        <v>10.833333333333336</v>
      </c>
    </row>
    <row r="48" spans="1:11" s="55" customFormat="1" ht="20.25" customHeight="1" thickBot="1">
      <c r="A48" s="218" t="s">
        <v>32</v>
      </c>
      <c r="B48" s="219" t="s">
        <v>33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17">
        <f t="shared" si="2"/>
        <v>6.26</v>
      </c>
    </row>
    <row r="49" spans="1:11" s="55" customFormat="1" ht="20.25" customHeight="1" thickBot="1">
      <c r="A49" s="218" t="s">
        <v>34</v>
      </c>
      <c r="B49" s="219" t="s">
        <v>35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17">
        <f t="shared" si="2"/>
        <v>20.128205128205128</v>
      </c>
    </row>
    <row r="50" spans="1:11" s="55" customFormat="1" ht="20.25" customHeight="1" thickBot="1">
      <c r="A50" s="218" t="s">
        <v>36</v>
      </c>
      <c r="B50" s="219" t="s">
        <v>37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17">
        <f t="shared" si="2"/>
        <v>4.9504950495049505</v>
      </c>
    </row>
    <row r="51" spans="1:11" s="55" customFormat="1" ht="20.25" customHeight="1" thickBot="1">
      <c r="A51" s="222" t="s">
        <v>38</v>
      </c>
      <c r="B51" s="223" t="s">
        <v>39</v>
      </c>
      <c r="C51" s="186">
        <v>10</v>
      </c>
      <c r="D51" s="186">
        <v>0</v>
      </c>
      <c r="E51" s="186">
        <v>0</v>
      </c>
      <c r="F51" s="186">
        <v>0</v>
      </c>
      <c r="G51" s="54">
        <v>0.3</v>
      </c>
      <c r="H51" s="54">
        <v>0.3</v>
      </c>
      <c r="I51" s="54">
        <v>0.5</v>
      </c>
      <c r="J51" s="224">
        <f t="shared" si="3"/>
        <v>166.66666666666669</v>
      </c>
      <c r="K51" s="225">
        <f t="shared" si="2"/>
        <v>16.666666666666671</v>
      </c>
    </row>
    <row r="52" spans="1:11" s="55" customFormat="1" ht="21.75" customHeight="1" thickBot="1">
      <c r="A52" s="266" t="s">
        <v>42</v>
      </c>
      <c r="B52" s="267"/>
      <c r="C52" s="212">
        <v>100</v>
      </c>
      <c r="D52" s="212"/>
      <c r="E52" s="212"/>
      <c r="F52" s="212"/>
      <c r="G52" s="212"/>
      <c r="H52" s="153"/>
      <c r="I52" s="153"/>
      <c r="J52" s="153"/>
      <c r="K52" s="226">
        <f>SUM(K40:K51)</f>
        <v>570.43462916767794</v>
      </c>
    </row>
    <row r="53" spans="1:11" s="55" customFormat="1" ht="25.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</row>
    <row r="54" spans="1:11" s="64" customFormat="1" ht="18.75">
      <c r="B54" s="64" t="s">
        <v>251</v>
      </c>
      <c r="C54" s="65"/>
    </row>
    <row r="55" spans="1:11" s="64" customFormat="1" ht="18.75">
      <c r="B55" s="64" t="s">
        <v>252</v>
      </c>
      <c r="C55" s="264" t="s">
        <v>254</v>
      </c>
      <c r="D55" s="264"/>
      <c r="E55" s="264"/>
      <c r="F55" s="264"/>
      <c r="G55" s="264"/>
      <c r="H55" s="264"/>
      <c r="I55" s="264"/>
      <c r="J55" s="264"/>
    </row>
    <row r="56" spans="1:11" s="64" customFormat="1" ht="18.75">
      <c r="C56" s="213"/>
      <c r="D56" s="213"/>
      <c r="E56" s="213"/>
      <c r="F56" s="213"/>
    </row>
    <row r="57" spans="1:11" s="64" customFormat="1" ht="18.75">
      <c r="B57" s="64" t="s">
        <v>253</v>
      </c>
      <c r="C57" s="264" t="s">
        <v>255</v>
      </c>
      <c r="D57" s="264"/>
      <c r="E57" s="264"/>
      <c r="F57" s="264"/>
      <c r="G57" s="264"/>
      <c r="H57" s="264"/>
      <c r="I57" s="264"/>
      <c r="J57" s="264"/>
    </row>
    <row r="58" spans="1:11" s="64" customFormat="1" ht="18.75">
      <c r="C58" s="65"/>
    </row>
    <row r="59" spans="1:11" s="64" customFormat="1" ht="18.75">
      <c r="B59" s="64" t="s">
        <v>256</v>
      </c>
      <c r="C59" s="65"/>
    </row>
  </sheetData>
  <mergeCells count="17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42" sqref="O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4" hidden="1" customWidth="1"/>
    <col min="15" max="15" width="14.7109375" style="18" customWidth="1"/>
    <col min="16" max="16" width="9.140625" style="57"/>
  </cols>
  <sheetData>
    <row r="1" spans="1:18">
      <c r="A1" s="275" t="s">
        <v>127</v>
      </c>
      <c r="B1" s="275"/>
      <c r="C1" s="275"/>
      <c r="D1" s="275"/>
      <c r="E1" s="275"/>
    </row>
    <row r="2" spans="1:18">
      <c r="A2" s="275" t="s">
        <v>4</v>
      </c>
      <c r="B2" s="275"/>
      <c r="C2" s="275"/>
      <c r="D2" s="275"/>
      <c r="E2" s="275"/>
    </row>
    <row r="3" spans="1:18" ht="18.75">
      <c r="A3" s="276" t="s">
        <v>59</v>
      </c>
      <c r="B3" s="276"/>
      <c r="C3" s="276"/>
      <c r="D3" s="276"/>
      <c r="E3" s="276"/>
    </row>
    <row r="4" spans="1:18" ht="18.75">
      <c r="A4" s="276" t="s">
        <v>190</v>
      </c>
      <c r="B4" s="276"/>
      <c r="C4" s="276"/>
      <c r="D4" s="276"/>
      <c r="E4" s="276"/>
    </row>
    <row r="5" spans="1:18" ht="16.5" thickBot="1">
      <c r="A5" s="1" t="s">
        <v>63</v>
      </c>
      <c r="B5" s="1"/>
    </row>
    <row r="6" spans="1:18" ht="33.75" customHeight="1" thickBot="1">
      <c r="A6" s="5" t="s">
        <v>8</v>
      </c>
      <c r="B6" s="10" t="s">
        <v>213</v>
      </c>
      <c r="C6" s="5" t="s">
        <v>60</v>
      </c>
      <c r="D6" s="5" t="s">
        <v>191</v>
      </c>
      <c r="E6" s="5" t="s">
        <v>61</v>
      </c>
      <c r="G6" s="33" t="s">
        <v>225</v>
      </c>
      <c r="H6" s="33" t="s">
        <v>226</v>
      </c>
      <c r="I6" s="33" t="s">
        <v>227</v>
      </c>
      <c r="J6" s="33" t="s">
        <v>228</v>
      </c>
      <c r="K6" s="33" t="s">
        <v>258</v>
      </c>
      <c r="L6" s="33" t="s">
        <v>262</v>
      </c>
      <c r="M6" s="33" t="s">
        <v>263</v>
      </c>
      <c r="N6" s="135" t="s">
        <v>278</v>
      </c>
      <c r="O6" s="33" t="s">
        <v>303</v>
      </c>
    </row>
    <row r="7" spans="1:18" ht="22.5" customHeight="1">
      <c r="A7" s="268" t="s">
        <v>44</v>
      </c>
      <c r="B7" s="23">
        <f>B8/B9</f>
        <v>0.64885823725658742</v>
      </c>
      <c r="C7" s="8" t="s">
        <v>128</v>
      </c>
      <c r="D7" s="277" t="s">
        <v>131</v>
      </c>
      <c r="E7" s="271" t="s">
        <v>132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2">
        <f>K8/K9</f>
        <v>0.71195746860381792</v>
      </c>
      <c r="L7" s="112">
        <v>0.35</v>
      </c>
      <c r="M7" s="112">
        <f>M8/M9</f>
        <v>0.37179061227974441</v>
      </c>
      <c r="N7" s="112">
        <f>N8/N9</f>
        <v>0.45866974611840217</v>
      </c>
      <c r="O7" s="130">
        <f>O8/O9</f>
        <v>0.53224461354458452</v>
      </c>
      <c r="R7" s="422"/>
    </row>
    <row r="8" spans="1:18" ht="36" customHeight="1">
      <c r="A8" s="269"/>
      <c r="B8" s="12">
        <v>7373516</v>
      </c>
      <c r="C8" s="8" t="s">
        <v>129</v>
      </c>
      <c r="D8" s="277"/>
      <c r="E8" s="271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3">
        <v>8696008</v>
      </c>
      <c r="L8" s="113"/>
      <c r="M8" s="73">
        <v>9924721</v>
      </c>
      <c r="N8" s="142">
        <v>12210334</v>
      </c>
      <c r="O8" s="230">
        <v>27251713</v>
      </c>
    </row>
    <row r="9" spans="1:18" ht="51" customHeight="1">
      <c r="A9" s="270"/>
      <c r="B9" s="13">
        <v>11363832</v>
      </c>
      <c r="C9" s="8" t="s">
        <v>130</v>
      </c>
      <c r="D9" s="277"/>
      <c r="E9" s="271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3">
        <v>12214224</v>
      </c>
      <c r="L9" s="113"/>
      <c r="M9" s="73">
        <v>26694383</v>
      </c>
      <c r="N9" s="142">
        <v>26621189</v>
      </c>
      <c r="O9" s="230">
        <v>51201482</v>
      </c>
    </row>
    <row r="10" spans="1:18" ht="21" customHeight="1">
      <c r="A10" s="268" t="s">
        <v>45</v>
      </c>
      <c r="B10" s="24">
        <f>B11/B12</f>
        <v>2.772128275039617E-3</v>
      </c>
      <c r="C10" s="9" t="s">
        <v>133</v>
      </c>
      <c r="D10" s="268" t="s">
        <v>192</v>
      </c>
      <c r="E10" s="271" t="s">
        <v>136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4">
        <f>K11/K12</f>
        <v>0</v>
      </c>
      <c r="L10" s="114">
        <v>8.5199999999999998E-2</v>
      </c>
      <c r="M10" s="115">
        <f>M11/M12</f>
        <v>0.87628349337034939</v>
      </c>
      <c r="N10" s="114">
        <f>N11/N12</f>
        <v>4.721465797830871E-3</v>
      </c>
      <c r="O10" s="131">
        <f>O11/O12</f>
        <v>0</v>
      </c>
      <c r="R10" s="422"/>
    </row>
    <row r="11" spans="1:18" ht="53.25" customHeight="1">
      <c r="A11" s="269"/>
      <c r="B11" s="22">
        <v>31502</v>
      </c>
      <c r="C11" s="6" t="s">
        <v>134</v>
      </c>
      <c r="D11" s="269"/>
      <c r="E11" s="271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16">
        <v>0</v>
      </c>
      <c r="L11" s="116">
        <v>0</v>
      </c>
      <c r="M11" s="116">
        <v>14694978</v>
      </c>
      <c r="N11" s="122">
        <v>68040.358999999997</v>
      </c>
      <c r="O11" s="230">
        <v>0</v>
      </c>
    </row>
    <row r="12" spans="1:18" ht="62.25" customHeight="1">
      <c r="A12" s="270"/>
      <c r="B12" s="14">
        <v>11363832</v>
      </c>
      <c r="C12" s="6" t="s">
        <v>135</v>
      </c>
      <c r="D12" s="270"/>
      <c r="E12" s="271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16">
        <v>3518216</v>
      </c>
      <c r="L12" s="116"/>
      <c r="M12" s="116">
        <v>16769662</v>
      </c>
      <c r="N12" s="113">
        <v>14410855</v>
      </c>
      <c r="O12" s="243">
        <v>23949769</v>
      </c>
    </row>
    <row r="13" spans="1:18" ht="17.25" customHeight="1">
      <c r="A13" s="271" t="s">
        <v>46</v>
      </c>
      <c r="B13" s="15">
        <f>B14/B15</f>
        <v>124041.05753968254</v>
      </c>
      <c r="C13" s="6" t="s">
        <v>137</v>
      </c>
      <c r="D13" s="271" t="s">
        <v>193</v>
      </c>
      <c r="E13" s="272" t="s">
        <v>194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17">
        <f>K14/K15</f>
        <v>86176.022429906545</v>
      </c>
      <c r="L13" s="117">
        <v>11464</v>
      </c>
      <c r="M13" s="117">
        <f>M14/M15</f>
        <v>175659.93835616438</v>
      </c>
      <c r="N13" s="117">
        <f>N14/N15</f>
        <v>209348.81227436822</v>
      </c>
      <c r="O13" s="132">
        <f>O14/O15</f>
        <v>185243.11014492754</v>
      </c>
      <c r="R13" s="422"/>
    </row>
    <row r="14" spans="1:18" ht="66.75" customHeight="1">
      <c r="A14" s="271"/>
      <c r="B14" s="14">
        <v>62516693</v>
      </c>
      <c r="C14" s="6" t="s">
        <v>138</v>
      </c>
      <c r="D14" s="271"/>
      <c r="E14" s="272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3">
        <v>46104172</v>
      </c>
      <c r="L14" s="113"/>
      <c r="M14" s="118">
        <v>102585404</v>
      </c>
      <c r="N14" s="143">
        <v>115979242</v>
      </c>
      <c r="O14" s="143">
        <v>63908873</v>
      </c>
    </row>
    <row r="15" spans="1:18" ht="81" customHeight="1">
      <c r="A15" s="271"/>
      <c r="B15" s="22">
        <v>504</v>
      </c>
      <c r="C15" s="56" t="s">
        <v>139</v>
      </c>
      <c r="D15" s="271"/>
      <c r="E15" s="272"/>
      <c r="F15" s="32"/>
      <c r="G15" s="35">
        <v>535</v>
      </c>
      <c r="H15" s="35">
        <v>535</v>
      </c>
      <c r="I15" s="71">
        <v>535</v>
      </c>
      <c r="J15" s="71">
        <v>535</v>
      </c>
      <c r="K15" s="113">
        <v>535</v>
      </c>
      <c r="L15" s="113"/>
      <c r="M15" s="73">
        <v>584</v>
      </c>
      <c r="N15" s="142">
        <v>554</v>
      </c>
      <c r="O15" s="230">
        <v>345</v>
      </c>
    </row>
    <row r="16" spans="1:18">
      <c r="A16" s="271" t="s">
        <v>47</v>
      </c>
      <c r="B16" s="17">
        <f>B17/B19</f>
        <v>5.5058848137383141</v>
      </c>
      <c r="C16" s="6" t="s">
        <v>140</v>
      </c>
      <c r="D16" s="271" t="s">
        <v>145</v>
      </c>
      <c r="E16" s="271" t="s">
        <v>146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9">
        <f>K17/K19</f>
        <v>12.236121983362239</v>
      </c>
      <c r="L16" s="119">
        <v>6.3</v>
      </c>
      <c r="M16" s="119">
        <f>M17/M19</f>
        <v>9.8700574079379155</v>
      </c>
      <c r="N16" s="119">
        <f>N17/N19</f>
        <v>7.153798324422433</v>
      </c>
      <c r="O16" s="231">
        <f>O17/O19</f>
        <v>2.6188971699614534</v>
      </c>
      <c r="R16" s="422"/>
    </row>
    <row r="17" spans="1:18" s="90" customFormat="1" ht="59.25" customHeight="1">
      <c r="A17" s="271"/>
      <c r="B17" s="95">
        <v>62516693</v>
      </c>
      <c r="C17" s="86" t="s">
        <v>273</v>
      </c>
      <c r="D17" s="271"/>
      <c r="E17" s="271"/>
      <c r="F17" s="96"/>
      <c r="G17" s="89">
        <f>G14</f>
        <v>17693919</v>
      </c>
      <c r="H17" s="89">
        <f>H14</f>
        <v>38811034</v>
      </c>
      <c r="I17" s="89">
        <f t="shared" ref="I17:J17" si="2">I14</f>
        <v>62516693</v>
      </c>
      <c r="J17" s="127">
        <f t="shared" si="2"/>
        <v>83355590.666666672</v>
      </c>
      <c r="K17" s="123">
        <f>K14</f>
        <v>46104172</v>
      </c>
      <c r="L17" s="123">
        <f>L14</f>
        <v>0</v>
      </c>
      <c r="M17" s="128">
        <f>M14</f>
        <v>102585404</v>
      </c>
      <c r="N17" s="144">
        <f>N14</f>
        <v>115979242</v>
      </c>
      <c r="O17" s="144">
        <f>O14</f>
        <v>63908873</v>
      </c>
      <c r="P17" s="228"/>
    </row>
    <row r="18" spans="1:18" ht="39">
      <c r="A18" s="271"/>
      <c r="B18" s="14"/>
      <c r="C18" s="6" t="s">
        <v>142</v>
      </c>
      <c r="D18" s="271"/>
      <c r="E18" s="271"/>
      <c r="F18" s="32"/>
      <c r="G18" s="35"/>
      <c r="H18" s="35"/>
      <c r="I18" s="69"/>
      <c r="J18" s="35"/>
      <c r="K18" s="73"/>
      <c r="L18" s="73"/>
      <c r="M18" s="73"/>
      <c r="N18" s="142"/>
      <c r="O18" s="129"/>
    </row>
    <row r="19" spans="1:18">
      <c r="A19" s="271"/>
      <c r="B19" s="15">
        <f>(11345213+11363832)/2</f>
        <v>11354522.5</v>
      </c>
      <c r="C19" s="6" t="s">
        <v>143</v>
      </c>
      <c r="D19" s="271"/>
      <c r="E19" s="271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3">
        <f>(4017533+3518216)/2</f>
        <v>3767874.5</v>
      </c>
      <c r="L19" s="113"/>
      <c r="M19" s="118">
        <f>(4017533+16769662)/2</f>
        <v>10393597.5</v>
      </c>
      <c r="N19" s="143">
        <f>(18013666+14410855)/2</f>
        <v>16212260.5</v>
      </c>
      <c r="O19" s="143">
        <f>(24856174+O12)/2</f>
        <v>24402971.5</v>
      </c>
    </row>
    <row r="20" spans="1:18" ht="43.5" customHeight="1">
      <c r="A20" s="271"/>
      <c r="B20" s="14"/>
      <c r="C20" s="6" t="s">
        <v>144</v>
      </c>
      <c r="D20" s="271"/>
      <c r="E20" s="271"/>
      <c r="F20" s="32"/>
      <c r="G20" s="35"/>
      <c r="H20" s="35"/>
      <c r="I20" s="69"/>
      <c r="J20" s="35"/>
      <c r="K20" s="73"/>
      <c r="L20" s="73"/>
      <c r="M20" s="73"/>
      <c r="N20" s="142"/>
      <c r="O20" s="129"/>
    </row>
    <row r="21" spans="1:18" ht="26.25">
      <c r="A21" s="271" t="s">
        <v>48</v>
      </c>
      <c r="B21" s="17">
        <f>B22/B23</f>
        <v>0.7</v>
      </c>
      <c r="C21" s="6" t="s">
        <v>147</v>
      </c>
      <c r="D21" s="271" t="s">
        <v>151</v>
      </c>
      <c r="E21" s="271" t="s">
        <v>152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0">
        <f>K22/K23</f>
        <v>0.71</v>
      </c>
      <c r="L21" s="120">
        <v>0.71</v>
      </c>
      <c r="M21" s="121">
        <f>M22/M23</f>
        <v>0.86399999999999999</v>
      </c>
      <c r="N21" s="112">
        <f>N22/N23</f>
        <v>0.86599999999999999</v>
      </c>
      <c r="O21" s="121">
        <f>O22/O23</f>
        <v>0.88200000000000001</v>
      </c>
      <c r="R21" s="422"/>
    </row>
    <row r="22" spans="1:18" ht="39">
      <c r="A22" s="271"/>
      <c r="B22" s="14">
        <v>62516693</v>
      </c>
      <c r="C22" s="6" t="s">
        <v>148</v>
      </c>
      <c r="D22" s="271"/>
      <c r="E22" s="271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3">
        <v>46104172</v>
      </c>
      <c r="L22" s="113"/>
      <c r="M22" s="118">
        <f>M17</f>
        <v>102585404</v>
      </c>
      <c r="N22" s="143">
        <f>N17</f>
        <v>115979242</v>
      </c>
      <c r="O22" s="143">
        <f>O17</f>
        <v>63908873</v>
      </c>
    </row>
    <row r="23" spans="1:18" ht="77.25">
      <c r="A23" s="271"/>
      <c r="B23" s="25">
        <f>B22/70*100</f>
        <v>89309561.428571433</v>
      </c>
      <c r="C23" s="6" t="s">
        <v>222</v>
      </c>
      <c r="D23" s="271"/>
      <c r="E23" s="271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2">
        <f>K22/71*100</f>
        <v>64935453.521126762</v>
      </c>
      <c r="L23" s="122"/>
      <c r="M23" s="118">
        <f>M22/86.4*100</f>
        <v>118733106.48148148</v>
      </c>
      <c r="N23" s="143">
        <f>N22/86.6*100</f>
        <v>133925221.70900694</v>
      </c>
      <c r="O23" s="143">
        <f>O22/88.2*100</f>
        <v>72459039.682539687</v>
      </c>
    </row>
    <row r="24" spans="1:18" ht="26.25">
      <c r="A24" s="271"/>
      <c r="B24" s="14">
        <v>0</v>
      </c>
      <c r="C24" s="6" t="s">
        <v>149</v>
      </c>
      <c r="D24" s="271"/>
      <c r="E24" s="271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2"/>
      <c r="O24" s="73"/>
    </row>
    <row r="25" spans="1:18" ht="32.25" customHeight="1">
      <c r="A25" s="271"/>
      <c r="B25" s="14">
        <v>0</v>
      </c>
      <c r="C25" s="6" t="s">
        <v>150</v>
      </c>
      <c r="D25" s="271"/>
      <c r="E25" s="271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2"/>
      <c r="O25" s="73"/>
    </row>
    <row r="26" spans="1:18">
      <c r="A26" s="271" t="s">
        <v>49</v>
      </c>
      <c r="B26" s="16">
        <f>B27/B28</f>
        <v>1.8199763213522492E-2</v>
      </c>
      <c r="C26" s="6" t="s">
        <v>153</v>
      </c>
      <c r="D26" s="268" t="s">
        <v>195</v>
      </c>
      <c r="E26" s="271" t="s">
        <v>156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0">
        <f>K27/K28</f>
        <v>2.9000000000000005E-2</v>
      </c>
      <c r="L26" s="120">
        <v>2.8000000000000001E-2</v>
      </c>
      <c r="M26" s="115">
        <f>M27/M28</f>
        <v>2.75E-2</v>
      </c>
      <c r="N26" s="115">
        <f>N27/N28</f>
        <v>2.7500000000000004E-2</v>
      </c>
      <c r="O26" s="232">
        <f>O27/O28</f>
        <v>2.75E-2</v>
      </c>
      <c r="R26" s="422"/>
    </row>
    <row r="27" spans="1:18" ht="58.5" customHeight="1">
      <c r="A27" s="271"/>
      <c r="B27" s="14">
        <v>1018215</v>
      </c>
      <c r="C27" s="6" t="s">
        <v>154</v>
      </c>
      <c r="D27" s="269"/>
      <c r="E27" s="271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2">
        <f>K28*0.029</f>
        <v>1106951.3730000001</v>
      </c>
      <c r="L27" s="122"/>
      <c r="M27" s="73">
        <f>M28*0.0275</f>
        <v>2446126.1</v>
      </c>
      <c r="N27" s="143">
        <f>N28*0.0275</f>
        <v>2811749.5725000002</v>
      </c>
      <c r="O27" s="143">
        <f>O28*0.0275</f>
        <v>1565747.59</v>
      </c>
    </row>
    <row r="28" spans="1:18" ht="32.25" customHeight="1">
      <c r="A28" s="271"/>
      <c r="B28" s="14">
        <v>55946607</v>
      </c>
      <c r="C28" s="6" t="s">
        <v>155</v>
      </c>
      <c r="D28" s="270"/>
      <c r="E28" s="271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3">
        <v>38170737</v>
      </c>
      <c r="L28" s="113"/>
      <c r="M28" s="73">
        <v>88950040</v>
      </c>
      <c r="N28" s="142">
        <v>102245439</v>
      </c>
      <c r="O28" s="230">
        <v>56936276</v>
      </c>
    </row>
    <row r="29" spans="1:18">
      <c r="A29" s="271" t="s">
        <v>50</v>
      </c>
      <c r="B29" s="14"/>
      <c r="C29" s="6" t="s">
        <v>157</v>
      </c>
      <c r="D29" s="3" t="s">
        <v>161</v>
      </c>
      <c r="E29" s="271" t="s">
        <v>165</v>
      </c>
      <c r="F29" s="32"/>
      <c r="G29" s="35"/>
      <c r="H29" s="35"/>
      <c r="I29" s="69"/>
      <c r="J29" s="35"/>
      <c r="K29" s="73"/>
      <c r="L29" s="73"/>
      <c r="M29" s="73">
        <v>0</v>
      </c>
      <c r="N29" s="142">
        <v>0</v>
      </c>
      <c r="O29" s="73">
        <v>0</v>
      </c>
    </row>
    <row r="30" spans="1:18" ht="26.25">
      <c r="A30" s="271"/>
      <c r="B30" s="14">
        <v>0</v>
      </c>
      <c r="C30" s="6" t="s">
        <v>158</v>
      </c>
      <c r="D30" s="3" t="s">
        <v>162</v>
      </c>
      <c r="E30" s="271"/>
      <c r="F30" s="32"/>
      <c r="G30" s="69">
        <v>0</v>
      </c>
      <c r="H30" s="69">
        <v>0</v>
      </c>
      <c r="I30" s="69">
        <v>0</v>
      </c>
      <c r="J30" s="69">
        <v>0</v>
      </c>
      <c r="K30" s="113">
        <v>0</v>
      </c>
      <c r="L30" s="113">
        <v>0</v>
      </c>
      <c r="M30" s="73"/>
      <c r="N30" s="142"/>
      <c r="O30" s="73"/>
    </row>
    <row r="31" spans="1:18" ht="26.25">
      <c r="A31" s="271"/>
      <c r="B31" s="14">
        <v>0</v>
      </c>
      <c r="C31" s="6" t="s">
        <v>159</v>
      </c>
      <c r="D31" s="3" t="s">
        <v>163</v>
      </c>
      <c r="E31" s="271"/>
      <c r="F31" s="32"/>
      <c r="G31" s="69">
        <v>0</v>
      </c>
      <c r="H31" s="69">
        <v>0</v>
      </c>
      <c r="I31" s="69">
        <v>0</v>
      </c>
      <c r="J31" s="69">
        <v>0</v>
      </c>
      <c r="K31" s="113">
        <v>0</v>
      </c>
      <c r="L31" s="113">
        <v>0</v>
      </c>
      <c r="M31" s="73"/>
      <c r="N31" s="142"/>
      <c r="O31" s="73"/>
    </row>
    <row r="32" spans="1:18" ht="38.25">
      <c r="A32" s="271"/>
      <c r="C32" s="5" t="s">
        <v>160</v>
      </c>
      <c r="D32" s="3" t="s">
        <v>164</v>
      </c>
      <c r="E32" s="271"/>
      <c r="F32" s="32"/>
      <c r="G32" s="73"/>
      <c r="H32" s="73"/>
      <c r="I32" s="73"/>
      <c r="J32" s="35"/>
      <c r="K32" s="113"/>
      <c r="L32" s="113"/>
      <c r="M32" s="73"/>
      <c r="N32" s="142"/>
      <c r="O32" s="73"/>
    </row>
    <row r="33" spans="1:18">
      <c r="A33" s="271" t="s">
        <v>166</v>
      </c>
      <c r="B33" s="14"/>
      <c r="C33" s="6" t="s">
        <v>167</v>
      </c>
      <c r="D33" s="271" t="s">
        <v>171</v>
      </c>
      <c r="E33" s="271" t="s">
        <v>172</v>
      </c>
      <c r="F33" s="32"/>
      <c r="G33" s="69"/>
      <c r="H33" s="69"/>
      <c r="I33" s="69"/>
      <c r="J33" s="35"/>
      <c r="K33" s="113"/>
      <c r="L33" s="113"/>
      <c r="M33" s="73">
        <v>0</v>
      </c>
      <c r="N33" s="142">
        <v>0</v>
      </c>
      <c r="O33" s="73">
        <v>0</v>
      </c>
    </row>
    <row r="34" spans="1:18" ht="26.25">
      <c r="A34" s="271"/>
      <c r="B34" s="14">
        <v>0</v>
      </c>
      <c r="C34" s="6" t="s">
        <v>168</v>
      </c>
      <c r="D34" s="271"/>
      <c r="E34" s="271"/>
      <c r="F34" s="32"/>
      <c r="G34" s="69">
        <v>0</v>
      </c>
      <c r="H34" s="69">
        <v>0</v>
      </c>
      <c r="I34" s="69">
        <v>0</v>
      </c>
      <c r="J34" s="69">
        <v>0</v>
      </c>
      <c r="K34" s="113">
        <v>0</v>
      </c>
      <c r="L34" s="113">
        <v>0</v>
      </c>
      <c r="M34" s="73"/>
      <c r="N34" s="142"/>
      <c r="O34" s="73"/>
    </row>
    <row r="35" spans="1:18">
      <c r="A35" s="271"/>
      <c r="B35" s="14">
        <v>0</v>
      </c>
      <c r="C35" s="6" t="s">
        <v>169</v>
      </c>
      <c r="D35" s="271"/>
      <c r="E35" s="271"/>
      <c r="F35" s="32"/>
      <c r="G35" s="69">
        <v>0</v>
      </c>
      <c r="H35" s="69">
        <v>0</v>
      </c>
      <c r="I35" s="69">
        <v>0</v>
      </c>
      <c r="J35" s="69">
        <v>0</v>
      </c>
      <c r="K35" s="113">
        <v>0</v>
      </c>
      <c r="L35" s="113">
        <v>0</v>
      </c>
      <c r="M35" s="73"/>
      <c r="N35" s="142"/>
      <c r="O35" s="73"/>
    </row>
    <row r="36" spans="1:18" ht="38.25">
      <c r="A36" s="271"/>
      <c r="B36" s="14"/>
      <c r="C36" s="5" t="s">
        <v>170</v>
      </c>
      <c r="D36" s="271"/>
      <c r="E36" s="271"/>
      <c r="F36" s="32"/>
      <c r="G36" s="35"/>
      <c r="H36" s="35"/>
      <c r="I36" s="69"/>
      <c r="J36" s="35"/>
      <c r="K36" s="73"/>
      <c r="L36" s="73"/>
      <c r="M36" s="73"/>
      <c r="N36" s="142"/>
      <c r="O36" s="73"/>
    </row>
    <row r="37" spans="1:18" ht="18" customHeight="1">
      <c r="A37" s="271" t="s">
        <v>52</v>
      </c>
      <c r="B37" s="17">
        <f>B38/B39</f>
        <v>15.782976190476191</v>
      </c>
      <c r="C37" s="6" t="s">
        <v>173</v>
      </c>
      <c r="D37" s="268" t="s">
        <v>198</v>
      </c>
      <c r="E37" s="268" t="s">
        <v>175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9">
        <f>K38/K39</f>
        <v>11.398971962616821</v>
      </c>
      <c r="L37" s="119">
        <v>8.9</v>
      </c>
      <c r="M37" s="119">
        <f>M38/M39</f>
        <v>17.979452054794521</v>
      </c>
      <c r="N37" s="119">
        <f>N38/N39</f>
        <v>19.542719614921779</v>
      </c>
      <c r="O37" s="231">
        <f>O38/O39</f>
        <v>14.028985507246377</v>
      </c>
      <c r="R37" s="422"/>
    </row>
    <row r="38" spans="1:18" ht="26.25">
      <c r="A38" s="271"/>
      <c r="B38" s="15">
        <v>7954.62</v>
      </c>
      <c r="C38" s="6" t="s">
        <v>174</v>
      </c>
      <c r="D38" s="269"/>
      <c r="E38" s="269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3">
        <v>6098.45</v>
      </c>
      <c r="L38" s="113"/>
      <c r="M38" s="73">
        <v>10500</v>
      </c>
      <c r="N38" s="143">
        <f>8120/3*4</f>
        <v>10826.666666666666</v>
      </c>
      <c r="O38" s="230">
        <v>4840</v>
      </c>
    </row>
    <row r="39" spans="1:18" ht="29.25" customHeight="1">
      <c r="A39" s="271"/>
      <c r="B39" s="14">
        <v>504</v>
      </c>
      <c r="C39" s="6" t="s">
        <v>139</v>
      </c>
      <c r="D39" s="270"/>
      <c r="E39" s="270"/>
      <c r="F39" s="32"/>
      <c r="G39" s="35">
        <v>535</v>
      </c>
      <c r="H39" s="35">
        <v>535</v>
      </c>
      <c r="I39" s="69">
        <v>535</v>
      </c>
      <c r="J39" s="35">
        <v>535</v>
      </c>
      <c r="K39" s="113">
        <v>535</v>
      </c>
      <c r="L39" s="113"/>
      <c r="M39" s="73">
        <v>584</v>
      </c>
      <c r="N39" s="142">
        <v>554</v>
      </c>
      <c r="O39" s="230">
        <f>O15</f>
        <v>345</v>
      </c>
    </row>
    <row r="40" spans="1:18" ht="21.75" customHeight="1">
      <c r="A40" s="271" t="s">
        <v>53</v>
      </c>
      <c r="B40" s="16">
        <f>509/498</f>
        <v>1.0220883534136547</v>
      </c>
      <c r="C40" s="6" t="s">
        <v>176</v>
      </c>
      <c r="D40" s="271" t="s">
        <v>178</v>
      </c>
      <c r="E40" s="271" t="s">
        <v>179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2">
        <f>554/712</f>
        <v>0.7780898876404494</v>
      </c>
      <c r="L40" s="112">
        <v>0.91</v>
      </c>
      <c r="M40" s="112">
        <f>576/554</f>
        <v>1.03971119133574</v>
      </c>
      <c r="N40" s="112">
        <f>554/620</f>
        <v>0.8935483870967742</v>
      </c>
      <c r="O40" s="130">
        <f>554/510</f>
        <v>1.0862745098039215</v>
      </c>
    </row>
    <row r="41" spans="1:18" s="94" customFormat="1" ht="45" customHeight="1">
      <c r="A41" s="271"/>
      <c r="B41" s="91" t="s">
        <v>239</v>
      </c>
      <c r="C41" s="124" t="s">
        <v>272</v>
      </c>
      <c r="D41" s="271"/>
      <c r="E41" s="271"/>
      <c r="F41" s="92"/>
      <c r="G41" s="93" t="s">
        <v>238</v>
      </c>
      <c r="H41" s="93" t="s">
        <v>241</v>
      </c>
      <c r="I41" s="91" t="s">
        <v>242</v>
      </c>
      <c r="J41" s="93" t="s">
        <v>240</v>
      </c>
      <c r="K41" s="125" t="s">
        <v>260</v>
      </c>
      <c r="L41" s="125"/>
      <c r="M41" s="126" t="s">
        <v>264</v>
      </c>
      <c r="N41" s="145" t="s">
        <v>279</v>
      </c>
      <c r="O41" s="145" t="s">
        <v>304</v>
      </c>
      <c r="P41" s="233"/>
    </row>
    <row r="42" spans="1:18" ht="68.25" customHeight="1">
      <c r="A42" s="3" t="s">
        <v>180</v>
      </c>
      <c r="B42" s="14">
        <v>0</v>
      </c>
      <c r="C42" s="3" t="s">
        <v>181</v>
      </c>
      <c r="D42" s="3" t="s">
        <v>182</v>
      </c>
      <c r="E42" s="3" t="s">
        <v>126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2">
        <v>0</v>
      </c>
      <c r="O42" s="73">
        <v>0</v>
      </c>
    </row>
    <row r="43" spans="1:18" ht="79.5" customHeight="1">
      <c r="A43" s="14" t="s">
        <v>223</v>
      </c>
      <c r="B43" s="14">
        <v>0</v>
      </c>
      <c r="C43" s="3" t="s">
        <v>183</v>
      </c>
      <c r="D43" s="3" t="s">
        <v>182</v>
      </c>
      <c r="E43" s="3" t="s">
        <v>126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2">
        <v>0</v>
      </c>
      <c r="O43" s="73">
        <v>0</v>
      </c>
    </row>
    <row r="44" spans="1:18" ht="54.75" customHeight="1">
      <c r="A44" s="3" t="s">
        <v>56</v>
      </c>
      <c r="B44" s="14">
        <v>0</v>
      </c>
      <c r="C44" s="3" t="s">
        <v>184</v>
      </c>
      <c r="D44" s="3" t="s">
        <v>182</v>
      </c>
      <c r="E44" s="3" t="s">
        <v>126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2">
        <v>0</v>
      </c>
      <c r="O44" s="73">
        <v>0</v>
      </c>
    </row>
    <row r="45" spans="1:18" ht="15.75">
      <c r="A45" s="4" t="s">
        <v>63</v>
      </c>
      <c r="B45" s="4"/>
      <c r="C45" s="2"/>
      <c r="D45" s="2"/>
      <c r="E45" s="2"/>
      <c r="N45" s="146"/>
    </row>
    <row r="46" spans="1:18" ht="15.75">
      <c r="A46" s="4"/>
      <c r="B46" s="4"/>
      <c r="C46" s="2"/>
      <c r="D46" s="2"/>
      <c r="E46" s="2"/>
      <c r="N46" s="146"/>
    </row>
    <row r="47" spans="1:18" ht="15.75">
      <c r="A47" s="273" t="s">
        <v>196</v>
      </c>
      <c r="B47" s="273"/>
      <c r="C47" s="273"/>
      <c r="D47" s="273"/>
      <c r="E47" s="273"/>
      <c r="N47" s="146"/>
    </row>
    <row r="48" spans="1:18" ht="15.75">
      <c r="A48" s="278" t="s">
        <v>197</v>
      </c>
      <c r="B48" s="278"/>
      <c r="C48" s="278"/>
      <c r="D48" s="278"/>
      <c r="E48" s="278"/>
      <c r="N48" s="146"/>
    </row>
    <row r="49" spans="1:14" ht="15.75">
      <c r="A49" s="4"/>
      <c r="B49" s="4"/>
      <c r="C49" s="2"/>
      <c r="D49" s="2"/>
      <c r="E49" s="2"/>
      <c r="N49" s="146"/>
    </row>
    <row r="50" spans="1:14" ht="15.75">
      <c r="A50" s="4"/>
      <c r="B50" s="4"/>
      <c r="C50" s="2"/>
      <c r="D50" s="2"/>
      <c r="E50" s="2"/>
      <c r="N50" s="146"/>
    </row>
    <row r="51" spans="1:14" ht="15.75">
      <c r="A51" s="274"/>
      <c r="B51" s="274"/>
      <c r="C51" s="274"/>
      <c r="D51" s="274"/>
      <c r="E51" s="274"/>
      <c r="N51" s="146"/>
    </row>
    <row r="52" spans="1:14" ht="15.75">
      <c r="A52" s="274"/>
      <c r="B52" s="274"/>
      <c r="C52" s="274"/>
      <c r="D52" s="274"/>
      <c r="E52" s="274"/>
      <c r="N52" s="146"/>
    </row>
    <row r="53" spans="1:14">
      <c r="A53" s="279" t="s">
        <v>127</v>
      </c>
      <c r="B53" s="279"/>
      <c r="C53" s="279"/>
      <c r="D53" s="279"/>
      <c r="E53" s="279"/>
      <c r="N53" s="146"/>
    </row>
    <row r="54" spans="1:14">
      <c r="A54" s="279" t="s">
        <v>4</v>
      </c>
      <c r="B54" s="279"/>
      <c r="C54" s="279"/>
      <c r="D54" s="279"/>
      <c r="E54" s="279"/>
      <c r="N54" s="146"/>
    </row>
    <row r="55" spans="1:14" ht="18.75">
      <c r="A55" s="280" t="s">
        <v>59</v>
      </c>
      <c r="B55" s="280"/>
      <c r="C55" s="280"/>
      <c r="D55" s="280"/>
      <c r="E55" s="280"/>
      <c r="N55" s="146"/>
    </row>
    <row r="56" spans="1:14" ht="18.75">
      <c r="A56" s="280" t="s">
        <v>250</v>
      </c>
      <c r="B56" s="280"/>
      <c r="C56" s="280"/>
      <c r="D56" s="280"/>
      <c r="E56" s="280"/>
      <c r="N56" s="146"/>
    </row>
    <row r="57" spans="1:14" ht="16.5" thickBot="1">
      <c r="A57" s="47" t="s">
        <v>63</v>
      </c>
      <c r="B57" s="47"/>
      <c r="C57" s="48"/>
      <c r="D57" s="48"/>
      <c r="E57" s="48"/>
      <c r="N57" s="146"/>
    </row>
    <row r="58" spans="1:14" ht="33.75" customHeight="1" thickBot="1">
      <c r="A58" s="49" t="s">
        <v>8</v>
      </c>
      <c r="B58" s="50" t="s">
        <v>213</v>
      </c>
      <c r="C58" s="49" t="s">
        <v>60</v>
      </c>
      <c r="D58" s="49" t="s">
        <v>191</v>
      </c>
      <c r="E58" s="49" t="s">
        <v>61</v>
      </c>
      <c r="G58" s="33" t="s">
        <v>225</v>
      </c>
      <c r="H58" s="33" t="s">
        <v>226</v>
      </c>
      <c r="I58" s="33" t="s">
        <v>227</v>
      </c>
      <c r="J58" s="33" t="s">
        <v>228</v>
      </c>
    </row>
    <row r="59" spans="1:14" ht="22.5" customHeight="1">
      <c r="A59" s="268" t="s">
        <v>44</v>
      </c>
      <c r="B59" s="23">
        <f>B60/B61</f>
        <v>0.64885823725658742</v>
      </c>
      <c r="C59" s="8" t="s">
        <v>128</v>
      </c>
      <c r="D59" s="281" t="s">
        <v>131</v>
      </c>
      <c r="E59" s="271" t="s">
        <v>132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269"/>
      <c r="B60" s="41">
        <v>7373516</v>
      </c>
      <c r="C60" s="8" t="s">
        <v>129</v>
      </c>
      <c r="D60" s="281"/>
      <c r="E60" s="271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270"/>
      <c r="B61" s="42">
        <v>11363832</v>
      </c>
      <c r="C61" s="8" t="s">
        <v>130</v>
      </c>
      <c r="D61" s="281"/>
      <c r="E61" s="271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268" t="s">
        <v>45</v>
      </c>
      <c r="B62" s="24">
        <f>B63/B64</f>
        <v>2.772128275039617E-3</v>
      </c>
      <c r="C62" s="9" t="s">
        <v>133</v>
      </c>
      <c r="D62" s="268" t="s">
        <v>192</v>
      </c>
      <c r="E62" s="271" t="s">
        <v>136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269"/>
      <c r="B63" s="22">
        <v>31502</v>
      </c>
      <c r="C63" s="6" t="s">
        <v>134</v>
      </c>
      <c r="D63" s="269"/>
      <c r="E63" s="271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270"/>
      <c r="B64" s="40">
        <v>11363832</v>
      </c>
      <c r="C64" s="6" t="s">
        <v>135</v>
      </c>
      <c r="D64" s="270"/>
      <c r="E64" s="271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271" t="s">
        <v>46</v>
      </c>
      <c r="B65" s="27">
        <f>B66/B67</f>
        <v>124041.05753968254</v>
      </c>
      <c r="C65" s="6" t="s">
        <v>137</v>
      </c>
      <c r="D65" s="271" t="s">
        <v>193</v>
      </c>
      <c r="E65" s="272" t="s">
        <v>194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271"/>
      <c r="B66" s="40">
        <v>62516693</v>
      </c>
      <c r="C66" s="6" t="s">
        <v>138</v>
      </c>
      <c r="D66" s="271"/>
      <c r="E66" s="272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271"/>
      <c r="B67" s="22">
        <v>504</v>
      </c>
      <c r="C67" s="6" t="s">
        <v>139</v>
      </c>
      <c r="D67" s="271"/>
      <c r="E67" s="272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271" t="s">
        <v>47</v>
      </c>
      <c r="B68" s="17">
        <f>B69/B71</f>
        <v>5.5058848137383141</v>
      </c>
      <c r="C68" s="6" t="s">
        <v>140</v>
      </c>
      <c r="D68" s="271" t="s">
        <v>145</v>
      </c>
      <c r="E68" s="271" t="s">
        <v>146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271"/>
      <c r="B69" s="40">
        <v>62516693</v>
      </c>
      <c r="C69" s="6" t="s">
        <v>141</v>
      </c>
      <c r="D69" s="271"/>
      <c r="E69" s="271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271"/>
      <c r="B70" s="40"/>
      <c r="C70" s="6" t="s">
        <v>142</v>
      </c>
      <c r="D70" s="271"/>
      <c r="E70" s="271"/>
      <c r="F70" s="32"/>
      <c r="G70" s="35"/>
      <c r="H70" s="35"/>
      <c r="I70" s="69"/>
      <c r="J70" s="35"/>
    </row>
    <row r="71" spans="1:10">
      <c r="A71" s="271"/>
      <c r="B71" s="27">
        <f>(11345213+11363832)/2</f>
        <v>11354522.5</v>
      </c>
      <c r="C71" s="6" t="s">
        <v>143</v>
      </c>
      <c r="D71" s="271"/>
      <c r="E71" s="271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271"/>
      <c r="B72" s="40"/>
      <c r="C72" s="6" t="s">
        <v>144</v>
      </c>
      <c r="D72" s="271"/>
      <c r="E72" s="271"/>
      <c r="F72" s="32"/>
      <c r="G72" s="35"/>
      <c r="H72" s="35"/>
      <c r="I72" s="69"/>
      <c r="J72" s="35"/>
    </row>
    <row r="73" spans="1:10" ht="26.25">
      <c r="A73" s="271" t="s">
        <v>48</v>
      </c>
      <c r="B73" s="17">
        <f>B74/B75</f>
        <v>0.7</v>
      </c>
      <c r="C73" s="6" t="s">
        <v>147</v>
      </c>
      <c r="D73" s="271" t="s">
        <v>151</v>
      </c>
      <c r="E73" s="271" t="s">
        <v>152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271"/>
      <c r="B74" s="40">
        <v>62516693</v>
      </c>
      <c r="C74" s="6" t="s">
        <v>148</v>
      </c>
      <c r="D74" s="271"/>
      <c r="E74" s="271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271"/>
      <c r="B75" s="25">
        <f>B74/70*100</f>
        <v>89309561.428571433</v>
      </c>
      <c r="C75" s="6" t="s">
        <v>222</v>
      </c>
      <c r="D75" s="271"/>
      <c r="E75" s="271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271"/>
      <c r="B76" s="40">
        <v>0</v>
      </c>
      <c r="C76" s="6" t="s">
        <v>149</v>
      </c>
      <c r="D76" s="271"/>
      <c r="E76" s="271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271"/>
      <c r="B77" s="40">
        <v>0</v>
      </c>
      <c r="C77" s="6" t="s">
        <v>150</v>
      </c>
      <c r="D77" s="271"/>
      <c r="E77" s="271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271" t="s">
        <v>49</v>
      </c>
      <c r="B78" s="16">
        <f>B79/B80</f>
        <v>1.8199763213522492E-2</v>
      </c>
      <c r="C78" s="6" t="s">
        <v>153</v>
      </c>
      <c r="D78" s="268" t="s">
        <v>195</v>
      </c>
      <c r="E78" s="271" t="s">
        <v>156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271"/>
      <c r="B79" s="40">
        <v>1018215</v>
      </c>
      <c r="C79" s="6" t="s">
        <v>154</v>
      </c>
      <c r="D79" s="269"/>
      <c r="E79" s="271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271"/>
      <c r="B80" s="40">
        <v>55946607</v>
      </c>
      <c r="C80" s="6" t="s">
        <v>155</v>
      </c>
      <c r="D80" s="270"/>
      <c r="E80" s="271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271" t="s">
        <v>50</v>
      </c>
      <c r="B81" s="40"/>
      <c r="C81" s="6" t="s">
        <v>157</v>
      </c>
      <c r="D81" s="40" t="s">
        <v>161</v>
      </c>
      <c r="E81" s="271" t="s">
        <v>165</v>
      </c>
      <c r="F81" s="32"/>
      <c r="G81" s="35"/>
      <c r="H81" s="35"/>
      <c r="I81" s="70"/>
      <c r="J81" s="52"/>
    </row>
    <row r="82" spans="1:10" ht="26.25">
      <c r="A82" s="271"/>
      <c r="B82" s="40">
        <v>0</v>
      </c>
      <c r="C82" s="6" t="s">
        <v>158</v>
      </c>
      <c r="D82" s="40" t="s">
        <v>162</v>
      </c>
      <c r="E82" s="271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271"/>
      <c r="B83" s="40">
        <v>0</v>
      </c>
      <c r="C83" s="6" t="s">
        <v>159</v>
      </c>
      <c r="D83" s="40" t="s">
        <v>163</v>
      </c>
      <c r="E83" s="271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271"/>
      <c r="C84" s="5" t="s">
        <v>160</v>
      </c>
      <c r="D84" s="40" t="s">
        <v>164</v>
      </c>
      <c r="E84" s="271"/>
      <c r="F84" s="32"/>
      <c r="G84" s="73"/>
      <c r="H84" s="73"/>
      <c r="I84" s="73"/>
      <c r="J84" s="35"/>
    </row>
    <row r="85" spans="1:10">
      <c r="A85" s="271" t="s">
        <v>166</v>
      </c>
      <c r="B85" s="40"/>
      <c r="C85" s="6" t="s">
        <v>167</v>
      </c>
      <c r="D85" s="271" t="s">
        <v>171</v>
      </c>
      <c r="E85" s="271" t="s">
        <v>172</v>
      </c>
      <c r="F85" s="32"/>
      <c r="G85" s="69"/>
      <c r="H85" s="69"/>
      <c r="I85" s="70"/>
      <c r="J85" s="52"/>
    </row>
    <row r="86" spans="1:10" ht="26.25">
      <c r="A86" s="271"/>
      <c r="B86" s="40">
        <v>0</v>
      </c>
      <c r="C86" s="6" t="s">
        <v>168</v>
      </c>
      <c r="D86" s="271"/>
      <c r="E86" s="271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271"/>
      <c r="B87" s="40">
        <v>0</v>
      </c>
      <c r="C87" s="6" t="s">
        <v>169</v>
      </c>
      <c r="D87" s="271"/>
      <c r="E87" s="271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271"/>
      <c r="B88" s="40"/>
      <c r="C88" s="5" t="s">
        <v>170</v>
      </c>
      <c r="D88" s="271"/>
      <c r="E88" s="271"/>
      <c r="F88" s="32"/>
      <c r="G88" s="35"/>
      <c r="H88" s="35"/>
      <c r="I88" s="69"/>
      <c r="J88" s="35"/>
    </row>
    <row r="89" spans="1:10" ht="18" customHeight="1">
      <c r="A89" s="271" t="s">
        <v>52</v>
      </c>
      <c r="B89" s="17">
        <f>B90/B91</f>
        <v>15.782976190476191</v>
      </c>
      <c r="C89" s="6" t="s">
        <v>173</v>
      </c>
      <c r="D89" s="268" t="s">
        <v>198</v>
      </c>
      <c r="E89" s="268" t="s">
        <v>175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271"/>
      <c r="B90" s="27">
        <v>7954.62</v>
      </c>
      <c r="C90" s="6" t="s">
        <v>174</v>
      </c>
      <c r="D90" s="269"/>
      <c r="E90" s="269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271"/>
      <c r="B91" s="40">
        <v>504</v>
      </c>
      <c r="C91" s="6" t="s">
        <v>139</v>
      </c>
      <c r="D91" s="270"/>
      <c r="E91" s="270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271" t="s">
        <v>53</v>
      </c>
      <c r="B92" s="16">
        <f>509/498</f>
        <v>1.0220883534136547</v>
      </c>
      <c r="C92" s="6" t="s">
        <v>176</v>
      </c>
      <c r="D92" s="271" t="s">
        <v>178</v>
      </c>
      <c r="E92" s="271" t="s">
        <v>179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271"/>
      <c r="B93" s="40" t="s">
        <v>239</v>
      </c>
      <c r="C93" s="6" t="s">
        <v>177</v>
      </c>
      <c r="D93" s="271"/>
      <c r="E93" s="271"/>
      <c r="F93" s="32"/>
      <c r="G93" s="35" t="s">
        <v>238</v>
      </c>
      <c r="H93" s="35" t="s">
        <v>241</v>
      </c>
      <c r="I93" s="69" t="s">
        <v>242</v>
      </c>
      <c r="J93" s="35" t="s">
        <v>240</v>
      </c>
    </row>
    <row r="94" spans="1:10" ht="68.25" customHeight="1">
      <c r="A94" s="40" t="s">
        <v>180</v>
      </c>
      <c r="B94" s="40">
        <v>0</v>
      </c>
      <c r="C94" s="40" t="s">
        <v>181</v>
      </c>
      <c r="D94" s="40" t="s">
        <v>182</v>
      </c>
      <c r="E94" s="40" t="s">
        <v>126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223</v>
      </c>
      <c r="B95" s="40">
        <v>0</v>
      </c>
      <c r="C95" s="40" t="s">
        <v>183</v>
      </c>
      <c r="D95" s="40" t="s">
        <v>182</v>
      </c>
      <c r="E95" s="40" t="s">
        <v>126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56</v>
      </c>
      <c r="B96" s="40">
        <v>0</v>
      </c>
      <c r="C96" s="40" t="s">
        <v>184</v>
      </c>
      <c r="D96" s="40" t="s">
        <v>182</v>
      </c>
      <c r="E96" s="40" t="s">
        <v>126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273" t="s">
        <v>196</v>
      </c>
      <c r="B99" s="273"/>
      <c r="C99" s="273"/>
      <c r="D99" s="273"/>
      <c r="E99" s="273"/>
    </row>
    <row r="100" spans="1:5" ht="15.75">
      <c r="A100" s="278" t="s">
        <v>197</v>
      </c>
      <c r="B100" s="278"/>
      <c r="C100" s="278"/>
      <c r="D100" s="278"/>
      <c r="E100" s="278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4"/>
  <sheetViews>
    <sheetView workbookViewId="0">
      <selection activeCell="T14" sqref="T14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275" t="s">
        <v>58</v>
      </c>
      <c r="B1" s="275"/>
      <c r="C1" s="275"/>
      <c r="D1" s="275"/>
      <c r="E1" s="275"/>
      <c r="F1" s="275"/>
    </row>
    <row r="2" spans="1:17">
      <c r="A2" s="275" t="s">
        <v>4</v>
      </c>
      <c r="B2" s="275"/>
      <c r="C2" s="275"/>
      <c r="D2" s="275"/>
      <c r="E2" s="275"/>
      <c r="F2" s="275"/>
    </row>
    <row r="3" spans="1:17" ht="18.75">
      <c r="A3" s="276" t="s">
        <v>59</v>
      </c>
      <c r="B3" s="276"/>
      <c r="C3" s="276"/>
      <c r="D3" s="276"/>
      <c r="E3" s="276"/>
      <c r="F3" s="276"/>
    </row>
    <row r="4" spans="1:17" ht="18.75">
      <c r="A4" s="276" t="s">
        <v>199</v>
      </c>
      <c r="B4" s="276"/>
      <c r="C4" s="276"/>
      <c r="D4" s="276"/>
      <c r="E4" s="276"/>
      <c r="F4" s="276"/>
    </row>
    <row r="5" spans="1:17" ht="16.5" thickBot="1">
      <c r="A5" s="1" t="s">
        <v>2</v>
      </c>
      <c r="B5" s="100"/>
      <c r="C5" s="100"/>
    </row>
    <row r="6" spans="1:17" ht="34.5" customHeight="1" thickBot="1">
      <c r="A6" s="11" t="s">
        <v>8</v>
      </c>
      <c r="B6" s="101" t="s">
        <v>231</v>
      </c>
      <c r="C6" s="101" t="s">
        <v>213</v>
      </c>
      <c r="D6" s="102" t="s">
        <v>60</v>
      </c>
      <c r="E6" s="103" t="s">
        <v>191</v>
      </c>
      <c r="F6" s="104" t="s">
        <v>61</v>
      </c>
      <c r="H6" s="31" t="s">
        <v>225</v>
      </c>
      <c r="I6" s="31" t="s">
        <v>226</v>
      </c>
      <c r="J6" s="31" t="s">
        <v>227</v>
      </c>
      <c r="K6" s="31" t="s">
        <v>228</v>
      </c>
      <c r="L6" s="31" t="s">
        <v>259</v>
      </c>
      <c r="M6" s="31" t="s">
        <v>261</v>
      </c>
      <c r="N6" s="31" t="s">
        <v>265</v>
      </c>
      <c r="O6" s="72" t="s">
        <v>280</v>
      </c>
      <c r="P6" s="72" t="s">
        <v>302</v>
      </c>
    </row>
    <row r="7" spans="1:17" ht="27" customHeight="1" thickBot="1">
      <c r="A7" s="289" t="s">
        <v>62</v>
      </c>
      <c r="B7" s="290"/>
      <c r="C7" s="290"/>
      <c r="D7" s="291"/>
      <c r="E7" s="291"/>
      <c r="F7" s="292"/>
      <c r="H7" s="31"/>
      <c r="I7" s="31"/>
      <c r="J7" s="31"/>
      <c r="K7" s="105"/>
      <c r="L7" s="31"/>
      <c r="M7" s="31"/>
      <c r="N7" s="31"/>
      <c r="O7" s="72"/>
      <c r="P7" s="72"/>
    </row>
    <row r="8" spans="1:17" ht="31.5" customHeight="1">
      <c r="A8" s="269" t="s">
        <v>200</v>
      </c>
      <c r="B8" s="25">
        <f>517502+507626+B18</f>
        <v>2469678</v>
      </c>
      <c r="C8" s="25">
        <f>517502+507626+C18</f>
        <v>2469678</v>
      </c>
      <c r="D8" s="106" t="s">
        <v>229</v>
      </c>
      <c r="E8" s="288" t="s">
        <v>201</v>
      </c>
      <c r="F8" s="288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36">
        <f>1691729+1320749+1634098</f>
        <v>4646576</v>
      </c>
      <c r="P8" s="68">
        <f>4316050+32363+906401</f>
        <v>5254814</v>
      </c>
      <c r="Q8" s="245"/>
    </row>
    <row r="9" spans="1:17" ht="16.5" customHeight="1">
      <c r="A9" s="269"/>
      <c r="B9" s="71"/>
      <c r="C9" s="71"/>
      <c r="D9" s="71" t="s">
        <v>64</v>
      </c>
      <c r="E9" s="277"/>
      <c r="F9" s="277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269"/>
      <c r="B10" s="277">
        <f>337904+150463+507626</f>
        <v>995993</v>
      </c>
      <c r="C10" s="277">
        <f>337904+150463+507626</f>
        <v>995993</v>
      </c>
      <c r="D10" s="71" t="s">
        <v>65</v>
      </c>
      <c r="E10" s="277"/>
      <c r="F10" s="277"/>
      <c r="H10" s="277">
        <f>112665+62167+125992</f>
        <v>300824</v>
      </c>
      <c r="I10" s="277">
        <f>225145+102829+418386</f>
        <v>746360</v>
      </c>
      <c r="J10" s="277">
        <f>337904+150463+507626</f>
        <v>995993</v>
      </c>
      <c r="K10" s="282">
        <f>J10/3*4</f>
        <v>1327990.6666666667</v>
      </c>
      <c r="L10" s="282"/>
      <c r="M10" s="282"/>
      <c r="N10" s="282"/>
      <c r="O10" s="282"/>
      <c r="P10" s="282"/>
    </row>
    <row r="11" spans="1:17" ht="16.5" customHeight="1">
      <c r="A11" s="269"/>
      <c r="B11" s="277"/>
      <c r="C11" s="277"/>
      <c r="D11" s="71" t="s">
        <v>66</v>
      </c>
      <c r="E11" s="277"/>
      <c r="F11" s="277"/>
      <c r="H11" s="277"/>
      <c r="I11" s="277"/>
      <c r="J11" s="277"/>
      <c r="K11" s="282"/>
      <c r="L11" s="282"/>
      <c r="M11" s="282"/>
      <c r="N11" s="282"/>
      <c r="O11" s="282"/>
      <c r="P11" s="282"/>
    </row>
    <row r="12" spans="1:17" ht="16.5" customHeight="1">
      <c r="A12" s="269"/>
      <c r="B12" s="277"/>
      <c r="C12" s="277"/>
      <c r="D12" s="71" t="s">
        <v>67</v>
      </c>
      <c r="E12" s="277"/>
      <c r="F12" s="277"/>
      <c r="H12" s="277"/>
      <c r="I12" s="277"/>
      <c r="J12" s="277"/>
      <c r="K12" s="282"/>
      <c r="L12" s="282"/>
      <c r="M12" s="282"/>
      <c r="N12" s="282"/>
      <c r="O12" s="282"/>
      <c r="P12" s="282"/>
    </row>
    <row r="13" spans="1:17" ht="16.5" customHeight="1">
      <c r="A13" s="269"/>
      <c r="B13" s="277"/>
      <c r="C13" s="277"/>
      <c r="D13" s="71" t="s">
        <v>68</v>
      </c>
      <c r="E13" s="277"/>
      <c r="F13" s="277"/>
      <c r="H13" s="277"/>
      <c r="I13" s="277"/>
      <c r="J13" s="277"/>
      <c r="K13" s="282"/>
      <c r="L13" s="282"/>
      <c r="M13" s="282"/>
      <c r="N13" s="282"/>
      <c r="O13" s="282"/>
      <c r="P13" s="282"/>
    </row>
    <row r="14" spans="1:17" ht="16.5" customHeight="1">
      <c r="A14" s="269"/>
      <c r="B14" s="277"/>
      <c r="C14" s="277"/>
      <c r="D14" s="71" t="s">
        <v>69</v>
      </c>
      <c r="E14" s="277"/>
      <c r="F14" s="277"/>
      <c r="H14" s="277"/>
      <c r="I14" s="277"/>
      <c r="J14" s="277"/>
      <c r="K14" s="282"/>
      <c r="L14" s="282"/>
      <c r="M14" s="282"/>
      <c r="N14" s="282"/>
      <c r="O14" s="282"/>
      <c r="P14" s="282"/>
    </row>
    <row r="15" spans="1:17" ht="16.5" customHeight="1">
      <c r="A15" s="269"/>
      <c r="B15" s="277"/>
      <c r="C15" s="277"/>
      <c r="D15" s="71" t="s">
        <v>70</v>
      </c>
      <c r="E15" s="277"/>
      <c r="F15" s="277"/>
      <c r="H15" s="277"/>
      <c r="I15" s="277"/>
      <c r="J15" s="277"/>
      <c r="K15" s="282"/>
      <c r="L15" s="282"/>
      <c r="M15" s="282"/>
      <c r="N15" s="282"/>
      <c r="O15" s="282"/>
      <c r="P15" s="282"/>
    </row>
    <row r="16" spans="1:17" ht="16.5" customHeight="1">
      <c r="A16" s="269"/>
      <c r="B16" s="277"/>
      <c r="C16" s="277"/>
      <c r="D16" s="71" t="s">
        <v>71</v>
      </c>
      <c r="E16" s="277"/>
      <c r="F16" s="277"/>
      <c r="H16" s="277"/>
      <c r="I16" s="277"/>
      <c r="J16" s="277"/>
      <c r="K16" s="282"/>
      <c r="L16" s="282"/>
      <c r="M16" s="282"/>
      <c r="N16" s="282"/>
      <c r="O16" s="282"/>
      <c r="P16" s="282"/>
    </row>
    <row r="17" spans="1:17" ht="16.5" customHeight="1">
      <c r="A17" s="269"/>
      <c r="B17" s="277"/>
      <c r="C17" s="277"/>
      <c r="D17" s="71" t="s">
        <v>72</v>
      </c>
      <c r="E17" s="277"/>
      <c r="F17" s="277"/>
      <c r="H17" s="277"/>
      <c r="I17" s="277"/>
      <c r="J17" s="277"/>
      <c r="K17" s="282"/>
      <c r="L17" s="282"/>
      <c r="M17" s="282"/>
      <c r="N17" s="282"/>
      <c r="O17" s="282"/>
      <c r="P17" s="282"/>
    </row>
    <row r="18" spans="1:17" ht="25.5">
      <c r="A18" s="269"/>
      <c r="B18" s="277">
        <f>B10+704138-255581</f>
        <v>1444550</v>
      </c>
      <c r="C18" s="277">
        <f>C10+704138-255581</f>
        <v>1444550</v>
      </c>
      <c r="D18" s="71" t="s">
        <v>73</v>
      </c>
      <c r="E18" s="277"/>
      <c r="F18" s="277"/>
      <c r="H18" s="277">
        <f>H10+234172-255581</f>
        <v>279415</v>
      </c>
      <c r="I18" s="277">
        <f>I10+470921-255581</f>
        <v>961700</v>
      </c>
      <c r="J18" s="277">
        <f>J10+704138-255581</f>
        <v>1444550</v>
      </c>
      <c r="K18" s="282">
        <f>J18/3*4</f>
        <v>1926066.6666666667</v>
      </c>
      <c r="L18" s="299"/>
      <c r="M18" s="299"/>
      <c r="N18" s="299"/>
      <c r="O18" s="283"/>
      <c r="P18" s="283"/>
    </row>
    <row r="19" spans="1:17">
      <c r="A19" s="269"/>
      <c r="B19" s="277"/>
      <c r="C19" s="277"/>
      <c r="D19" s="71" t="s">
        <v>74</v>
      </c>
      <c r="E19" s="277"/>
      <c r="F19" s="277"/>
      <c r="H19" s="277"/>
      <c r="I19" s="277"/>
      <c r="J19" s="277"/>
      <c r="K19" s="282"/>
      <c r="L19" s="300"/>
      <c r="M19" s="300"/>
      <c r="N19" s="300"/>
      <c r="O19" s="284"/>
      <c r="P19" s="284"/>
    </row>
    <row r="20" spans="1:17">
      <c r="A20" s="269"/>
      <c r="B20" s="277"/>
      <c r="C20" s="277"/>
      <c r="D20" s="30" t="s">
        <v>232</v>
      </c>
      <c r="E20" s="277"/>
      <c r="F20" s="277"/>
      <c r="H20" s="277"/>
      <c r="I20" s="277"/>
      <c r="J20" s="277"/>
      <c r="K20" s="282"/>
      <c r="L20" s="301"/>
      <c r="M20" s="301"/>
      <c r="N20" s="301"/>
      <c r="O20" s="285"/>
      <c r="P20" s="285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71" t="s">
        <v>77</v>
      </c>
      <c r="E21" s="107" t="s">
        <v>202</v>
      </c>
      <c r="F21" s="107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37">
        <f>9459358/115979242</f>
        <v>8.1560784816993373E-2</v>
      </c>
      <c r="P21" s="60">
        <f>2012505/63908873</f>
        <v>3.1490228281759874E-2</v>
      </c>
      <c r="Q21" s="245"/>
    </row>
    <row r="22" spans="1:17" ht="102">
      <c r="A22" s="3" t="s">
        <v>79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269</v>
      </c>
      <c r="E22" s="71" t="s">
        <v>214</v>
      </c>
      <c r="F22" s="71" t="s">
        <v>81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8">
        <f>3570468/((45969805+42806817)/2)</f>
        <v>8.0437122286540708E-2</v>
      </c>
      <c r="Q22" s="245"/>
    </row>
    <row r="23" spans="1:17" ht="114.75" customHeight="1">
      <c r="A23" s="3" t="s">
        <v>82</v>
      </c>
      <c r="B23" s="28">
        <f>337904/639863</f>
        <v>0.52808804384688601</v>
      </c>
      <c r="C23" s="28">
        <f>337904/639863</f>
        <v>0.52808804384688601</v>
      </c>
      <c r="D23" s="227" t="s">
        <v>288</v>
      </c>
      <c r="E23" s="71" t="s">
        <v>203</v>
      </c>
      <c r="F23" s="71" t="s">
        <v>84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62">
        <f>3570468/((45969805+42806817)/2)</f>
        <v>8.0437122286540708E-2</v>
      </c>
      <c r="Q23" s="245"/>
    </row>
    <row r="24" spans="1:17" ht="121.5" customHeight="1">
      <c r="A24" s="3" t="s">
        <v>85</v>
      </c>
      <c r="B24" s="28">
        <f>250-250+38.8/250</f>
        <v>0.15519999999999998</v>
      </c>
      <c r="C24" s="28">
        <f>250-250+38.8/250</f>
        <v>0.15519999999999998</v>
      </c>
      <c r="D24" s="71" t="s">
        <v>86</v>
      </c>
      <c r="E24" s="71" t="s">
        <v>203</v>
      </c>
      <c r="F24" s="71" t="s">
        <v>87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2">
        <f>250-250+309.85/250</f>
        <v>1.2394000000000001</v>
      </c>
      <c r="M24" s="31">
        <v>0</v>
      </c>
      <c r="N24" s="31">
        <v>0</v>
      </c>
      <c r="O24" s="138">
        <v>0</v>
      </c>
      <c r="P24" s="72">
        <v>0</v>
      </c>
    </row>
    <row r="25" spans="1:17" ht="24" customHeight="1">
      <c r="A25" s="271" t="s">
        <v>27</v>
      </c>
      <c r="B25" s="24">
        <f>B26/B28</f>
        <v>2.2403574791491167E-2</v>
      </c>
      <c r="C25" s="24">
        <f>C26/C28</f>
        <v>6.9285865776833409E-3</v>
      </c>
      <c r="D25" s="56" t="s">
        <v>88</v>
      </c>
      <c r="E25" s="277" t="s">
        <v>204</v>
      </c>
      <c r="F25" s="277" t="s">
        <v>94</v>
      </c>
      <c r="G25" s="287" t="s">
        <v>215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37">
        <f>O26/O28</f>
        <v>4.6435021719695027E-3</v>
      </c>
      <c r="P25" s="98">
        <f>P26/P28</f>
        <v>3.7583131196815417E-2</v>
      </c>
    </row>
    <row r="26" spans="1:17" ht="39">
      <c r="A26" s="271"/>
      <c r="B26" s="71">
        <f>517502</f>
        <v>517502</v>
      </c>
      <c r="C26" s="71">
        <f>517502</f>
        <v>517502</v>
      </c>
      <c r="D26" s="56" t="s">
        <v>89</v>
      </c>
      <c r="E26" s="277"/>
      <c r="F26" s="277"/>
      <c r="G26" s="287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229">
        <v>4316050</v>
      </c>
      <c r="Q26" s="245"/>
    </row>
    <row r="27" spans="1:17" ht="26.25">
      <c r="A27" s="271"/>
      <c r="B27" s="25"/>
      <c r="C27" s="25"/>
      <c r="D27" s="56" t="s">
        <v>90</v>
      </c>
      <c r="E27" s="277"/>
      <c r="F27" s="277"/>
      <c r="G27" s="287"/>
      <c r="H27" s="25"/>
      <c r="I27" s="25"/>
      <c r="J27" s="25"/>
      <c r="K27" s="25"/>
      <c r="L27" s="31"/>
      <c r="M27" s="31"/>
      <c r="N27" s="31"/>
      <c r="O27" s="31"/>
      <c r="P27" s="133"/>
    </row>
    <row r="28" spans="1:17">
      <c r="A28" s="271"/>
      <c r="B28" s="25">
        <f>(B29+B30)/2</f>
        <v>23099081.5</v>
      </c>
      <c r="C28" s="25">
        <f>(C29+C30)/2</f>
        <v>74690847</v>
      </c>
      <c r="D28" s="56" t="s">
        <v>91</v>
      </c>
      <c r="E28" s="277"/>
      <c r="F28" s="277"/>
      <c r="G28" s="287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97">
        <f>(P29+P30)/2</f>
        <v>114840085.5</v>
      </c>
    </row>
    <row r="29" spans="1:17" ht="34.5" customHeight="1">
      <c r="A29" s="271"/>
      <c r="B29" s="71">
        <f>67335177-32314063-4027553-11038005</f>
        <v>19955556</v>
      </c>
      <c r="C29" s="71">
        <f>67335177</f>
        <v>67335177</v>
      </c>
      <c r="D29" s="56" t="s">
        <v>92</v>
      </c>
      <c r="E29" s="277"/>
      <c r="F29" s="277"/>
      <c r="G29" s="287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229">
        <v>116465691</v>
      </c>
      <c r="Q29" s="245"/>
    </row>
    <row r="30" spans="1:17" ht="38.25" customHeight="1">
      <c r="A30" s="271"/>
      <c r="B30" s="71">
        <f>82046517-49629686-1582605-4591619</f>
        <v>26242607</v>
      </c>
      <c r="C30" s="71">
        <f>82046517</f>
        <v>82046517</v>
      </c>
      <c r="D30" s="56" t="s">
        <v>93</v>
      </c>
      <c r="E30" s="277"/>
      <c r="F30" s="277"/>
      <c r="G30" s="287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47">
        <v>84128042</v>
      </c>
      <c r="P30" s="229">
        <v>113214480</v>
      </c>
      <c r="Q30" s="245"/>
    </row>
    <row r="31" spans="1:17" ht="30" customHeight="1">
      <c r="A31" s="271" t="s">
        <v>29</v>
      </c>
      <c r="B31" s="28">
        <f>B32/B33</f>
        <v>0.5350658455514048</v>
      </c>
      <c r="C31" s="28">
        <f>C32/C33</f>
        <v>0.12912495197622714</v>
      </c>
      <c r="D31" s="56" t="s">
        <v>95</v>
      </c>
      <c r="E31" s="277" t="s">
        <v>205</v>
      </c>
      <c r="F31" s="277" t="s">
        <v>98</v>
      </c>
      <c r="G31" s="287" t="s">
        <v>216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37">
        <f>O32/O33</f>
        <v>3.6765727635205583E-3</v>
      </c>
      <c r="P31" s="98">
        <f>P32/P33</f>
        <v>6.5509488647563828E-3</v>
      </c>
    </row>
    <row r="32" spans="1:17" ht="26.25">
      <c r="A32" s="271"/>
      <c r="B32" s="71">
        <f>9869808</f>
        <v>9869808</v>
      </c>
      <c r="C32" s="71">
        <f>9869808</f>
        <v>9869808</v>
      </c>
      <c r="D32" s="56" t="s">
        <v>96</v>
      </c>
      <c r="E32" s="277"/>
      <c r="F32" s="277"/>
      <c r="G32" s="287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229">
        <v>461237</v>
      </c>
      <c r="Q32" s="245"/>
    </row>
    <row r="33" spans="1:17" ht="26.25">
      <c r="A33" s="271"/>
      <c r="B33" s="71">
        <f>76436102-33758250-15597883-8634000</f>
        <v>18445969</v>
      </c>
      <c r="C33" s="71">
        <f>76436102</f>
        <v>76436102</v>
      </c>
      <c r="D33" s="56" t="s">
        <v>97</v>
      </c>
      <c r="E33" s="277"/>
      <c r="F33" s="277"/>
      <c r="G33" s="287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229">
        <v>70407663</v>
      </c>
      <c r="Q33" s="245"/>
    </row>
    <row r="34" spans="1:17" ht="36.75" customHeight="1">
      <c r="A34" s="271" t="s">
        <v>31</v>
      </c>
      <c r="B34" s="29">
        <f>B35/(B36-B37)</f>
        <v>0.78676026691777556</v>
      </c>
      <c r="C34" s="28">
        <f>5610415/(C36-C37)</f>
        <v>8.3379645739997954E-2</v>
      </c>
      <c r="D34" s="56" t="s">
        <v>99</v>
      </c>
      <c r="E34" s="277" t="s">
        <v>206</v>
      </c>
      <c r="F34" s="277" t="s">
        <v>103</v>
      </c>
      <c r="G34" s="287" t="s">
        <v>221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99">
        <f>P35/(P36-P37)</f>
        <v>0.60798519899744441</v>
      </c>
    </row>
    <row r="35" spans="1:17" ht="53.25" customHeight="1">
      <c r="A35" s="271"/>
      <c r="B35" s="71">
        <f>5610415</f>
        <v>5610415</v>
      </c>
      <c r="C35" s="71">
        <f>5610415</f>
        <v>5610415</v>
      </c>
      <c r="D35" s="56" t="s">
        <v>100</v>
      </c>
      <c r="E35" s="277"/>
      <c r="F35" s="277"/>
      <c r="G35" s="287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229">
        <v>42806817</v>
      </c>
      <c r="Q35" s="245"/>
    </row>
    <row r="36" spans="1:17" ht="18" customHeight="1">
      <c r="A36" s="271"/>
      <c r="B36" s="71">
        <f>76436102-33758250-15597883-10800417</f>
        <v>16279552</v>
      </c>
      <c r="C36" s="71">
        <f>76436102</f>
        <v>76436102</v>
      </c>
      <c r="D36" s="56" t="s">
        <v>101</v>
      </c>
      <c r="E36" s="277"/>
      <c r="F36" s="277"/>
      <c r="G36" s="287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229">
        <v>70407663</v>
      </c>
      <c r="Q36" s="245"/>
    </row>
    <row r="37" spans="1:17" ht="39" customHeight="1">
      <c r="A37" s="271"/>
      <c r="B37" s="71">
        <v>9148517</v>
      </c>
      <c r="C37" s="71">
        <v>9148517</v>
      </c>
      <c r="D37" s="56" t="s">
        <v>102</v>
      </c>
      <c r="E37" s="277"/>
      <c r="F37" s="277"/>
      <c r="G37" s="287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229">
        <v>0</v>
      </c>
      <c r="Q37" s="245"/>
    </row>
    <row r="38" spans="1:17" ht="25.5" customHeight="1">
      <c r="A38" s="271" t="s">
        <v>33</v>
      </c>
      <c r="B38" s="29">
        <f>B40/(B39/B41)</f>
        <v>10.410612570309821</v>
      </c>
      <c r="C38" s="29">
        <f>C40/(C39/C41)</f>
        <v>69.034826266322185</v>
      </c>
      <c r="D38" s="56" t="s">
        <v>104</v>
      </c>
      <c r="E38" s="277" t="s">
        <v>207</v>
      </c>
      <c r="F38" s="277" t="s">
        <v>108</v>
      </c>
      <c r="G38" s="287" t="s">
        <v>216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4">
        <f>L40/(L39/L41)</f>
        <v>104.57188830980415</v>
      </c>
      <c r="M38" s="84">
        <v>86</v>
      </c>
      <c r="N38" s="84">
        <f>N40/(N39/N41)</f>
        <v>31.118430454297378</v>
      </c>
      <c r="O38" s="139">
        <f>O40/(O39/O41)</f>
        <v>9.4331270935535159</v>
      </c>
      <c r="P38" s="83">
        <f>P40/(P39/P41)</f>
        <v>33.596661609100821</v>
      </c>
    </row>
    <row r="39" spans="1:17" ht="68.25" customHeight="1">
      <c r="A39" s="271"/>
      <c r="B39" s="71">
        <v>62516693</v>
      </c>
      <c r="C39" s="71">
        <v>62516693</v>
      </c>
      <c r="D39" s="56" t="s">
        <v>105</v>
      </c>
      <c r="E39" s="277"/>
      <c r="F39" s="277"/>
      <c r="G39" s="287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88">
        <v>102585404</v>
      </c>
      <c r="O39" s="31">
        <v>115979242</v>
      </c>
      <c r="P39" s="229">
        <v>63908873</v>
      </c>
      <c r="Q39" s="245"/>
    </row>
    <row r="40" spans="1:17" ht="30.75" customHeight="1">
      <c r="A40" s="271"/>
      <c r="B40" s="71">
        <v>90</v>
      </c>
      <c r="C40" s="71">
        <v>90</v>
      </c>
      <c r="D40" s="56" t="s">
        <v>106</v>
      </c>
      <c r="E40" s="277"/>
      <c r="F40" s="277"/>
      <c r="G40" s="287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3">
        <v>90</v>
      </c>
      <c r="Q40" s="245"/>
    </row>
    <row r="41" spans="1:17" ht="99.75" customHeight="1">
      <c r="A41" s="271"/>
      <c r="B41" s="71">
        <f>47953656-33758250-15597883--8634000</f>
        <v>7231523</v>
      </c>
      <c r="C41" s="71">
        <f>47953656</f>
        <v>47953656</v>
      </c>
      <c r="D41" s="56" t="s">
        <v>107</v>
      </c>
      <c r="E41" s="277"/>
      <c r="F41" s="277"/>
      <c r="G41" s="287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229">
        <v>23856942</v>
      </c>
      <c r="Q41" s="245"/>
    </row>
    <row r="42" spans="1:17" s="57" customFormat="1" ht="15" customHeight="1">
      <c r="A42" s="277" t="s">
        <v>35</v>
      </c>
      <c r="B42" s="29">
        <f>B44/(B43/B45)</f>
        <v>1.462351343504366</v>
      </c>
      <c r="C42" s="29">
        <f>C44/(C43/C45)</f>
        <v>10.350855570687337</v>
      </c>
      <c r="D42" s="56" t="s">
        <v>109</v>
      </c>
      <c r="E42" s="277" t="s">
        <v>208</v>
      </c>
      <c r="F42" s="277" t="s">
        <v>113</v>
      </c>
      <c r="G42" s="287" t="s">
        <v>217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4">
        <f>L44/(L43/L45)</f>
        <v>38.759709967245477</v>
      </c>
      <c r="M42" s="31">
        <v>21.7</v>
      </c>
      <c r="N42" s="84">
        <f>N44/(N43/N45)</f>
        <v>14.574668146747269</v>
      </c>
      <c r="O42" s="139">
        <f>O44/(O43/O45)</f>
        <v>11.392683097549474</v>
      </c>
      <c r="P42" s="83">
        <f>P44/(P43/P45)</f>
        <v>35.898274407060818</v>
      </c>
    </row>
    <row r="43" spans="1:17" s="57" customFormat="1" ht="51.75">
      <c r="A43" s="277"/>
      <c r="B43" s="71">
        <v>62516693</v>
      </c>
      <c r="C43" s="71">
        <v>62516693</v>
      </c>
      <c r="D43" s="56" t="s">
        <v>110</v>
      </c>
      <c r="E43" s="277"/>
      <c r="F43" s="277"/>
      <c r="G43" s="287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3">
        <f t="shared" si="0"/>
        <v>115979242</v>
      </c>
      <c r="P43" s="229">
        <f t="shared" si="0"/>
        <v>63908873</v>
      </c>
    </row>
    <row r="44" spans="1:17" s="57" customFormat="1">
      <c r="A44" s="277"/>
      <c r="B44" s="71">
        <v>90</v>
      </c>
      <c r="C44" s="71">
        <v>90</v>
      </c>
      <c r="D44" s="56" t="s">
        <v>111</v>
      </c>
      <c r="E44" s="277"/>
      <c r="F44" s="277"/>
      <c r="G44" s="287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3">
        <f t="shared" si="0"/>
        <v>90</v>
      </c>
      <c r="Q44" s="245"/>
    </row>
    <row r="45" spans="1:17" s="57" customFormat="1" ht="51.75">
      <c r="A45" s="277"/>
      <c r="B45" s="71">
        <f>7190014-1582602-4591619</f>
        <v>1015793</v>
      </c>
      <c r="C45" s="71">
        <f>7190014</f>
        <v>7190014</v>
      </c>
      <c r="D45" s="56" t="s">
        <v>270</v>
      </c>
      <c r="E45" s="277"/>
      <c r="F45" s="277"/>
      <c r="G45" s="287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229">
        <v>25491314</v>
      </c>
      <c r="Q45" s="245"/>
    </row>
    <row r="46" spans="1:17" ht="39" customHeight="1">
      <c r="A46" s="271" t="s">
        <v>37</v>
      </c>
      <c r="B46" s="28">
        <f>B47/(B48-B49)</f>
        <v>1.3240730034044115</v>
      </c>
      <c r="C46" s="28">
        <f>C47/(C48-C49)</f>
        <v>1.0171406062500237</v>
      </c>
      <c r="D46" s="56" t="s">
        <v>114</v>
      </c>
      <c r="E46" s="277" t="s">
        <v>209</v>
      </c>
      <c r="F46" s="277" t="s">
        <v>116</v>
      </c>
      <c r="G46" s="287" t="s">
        <v>218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99">
        <f>P47/(P48-P49)</f>
        <v>1.2302448243453272</v>
      </c>
    </row>
    <row r="47" spans="1:17" ht="39">
      <c r="A47" s="271"/>
      <c r="B47" s="71">
        <f>68440935</f>
        <v>68440935</v>
      </c>
      <c r="C47" s="71">
        <f>68440935</f>
        <v>68440935</v>
      </c>
      <c r="D47" s="56" t="s">
        <v>271</v>
      </c>
      <c r="E47" s="277"/>
      <c r="F47" s="277"/>
      <c r="G47" s="287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229">
        <v>86618663</v>
      </c>
      <c r="Q47" s="245"/>
    </row>
    <row r="48" spans="1:17" s="90" customFormat="1" ht="16.5" customHeight="1">
      <c r="A48" s="271"/>
      <c r="B48" s="87">
        <f>76436102-15597886</f>
        <v>60838216</v>
      </c>
      <c r="C48" s="87">
        <f>76436102</f>
        <v>76436102</v>
      </c>
      <c r="D48" s="108" t="s">
        <v>266</v>
      </c>
      <c r="E48" s="277"/>
      <c r="F48" s="277"/>
      <c r="G48" s="287"/>
      <c r="H48" s="87">
        <v>52433235</v>
      </c>
      <c r="I48" s="87">
        <f>I33</f>
        <v>65995067</v>
      </c>
      <c r="J48" s="87">
        <f>76436102</f>
        <v>76436102</v>
      </c>
      <c r="K48" s="87">
        <f>J48</f>
        <v>76436102</v>
      </c>
      <c r="L48" s="88">
        <f>78657773</f>
        <v>78657773</v>
      </c>
      <c r="M48" s="88"/>
      <c r="N48" s="88">
        <f t="shared" ref="N48:O49" si="1">N36</f>
        <v>71123882</v>
      </c>
      <c r="O48" s="88">
        <f t="shared" si="1"/>
        <v>76017016</v>
      </c>
      <c r="P48" s="88">
        <f>P36</f>
        <v>70407663</v>
      </c>
      <c r="Q48" s="228"/>
    </row>
    <row r="49" spans="1:18" ht="57.75" customHeight="1">
      <c r="A49" s="271"/>
      <c r="B49" s="71">
        <v>9148517</v>
      </c>
      <c r="C49" s="71">
        <v>9148517</v>
      </c>
      <c r="D49" s="56" t="s">
        <v>102</v>
      </c>
      <c r="E49" s="277"/>
      <c r="F49" s="277"/>
      <c r="G49" s="287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229">
        <f>P37</f>
        <v>0</v>
      </c>
      <c r="Q49" s="57"/>
    </row>
    <row r="50" spans="1:18" ht="21" customHeight="1">
      <c r="A50" s="271" t="s">
        <v>117</v>
      </c>
      <c r="B50" s="28">
        <f>B51/B53</f>
        <v>0.29976457435512555</v>
      </c>
      <c r="C50" s="28">
        <f>C51/C53</f>
        <v>0.29976457435512555</v>
      </c>
      <c r="D50" s="56" t="s">
        <v>118</v>
      </c>
      <c r="E50" s="277" t="s">
        <v>210</v>
      </c>
      <c r="F50" s="277" t="s">
        <v>211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303" t="s">
        <v>268</v>
      </c>
      <c r="N50" s="62">
        <f>N51/N53</f>
        <v>0.49943343786161426</v>
      </c>
      <c r="O50" s="46">
        <f>O51/O53</f>
        <v>599.67379320261239</v>
      </c>
      <c r="P50" s="62">
        <f>P51/P53</f>
        <v>0.29994346019218276</v>
      </c>
    </row>
    <row r="51" spans="1:18" ht="35.25" customHeight="1">
      <c r="A51" s="271"/>
      <c r="B51" s="71">
        <v>38.799999999999997</v>
      </c>
      <c r="C51" s="71">
        <v>38.799999999999997</v>
      </c>
      <c r="D51" s="56" t="s">
        <v>119</v>
      </c>
      <c r="E51" s="277"/>
      <c r="F51" s="277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303"/>
      <c r="N51" s="31">
        <v>309.85000000000002</v>
      </c>
      <c r="O51" s="85">
        <v>309.85000000000002</v>
      </c>
      <c r="P51" s="85">
        <v>418.5</v>
      </c>
    </row>
    <row r="52" spans="1:18" ht="20.25" customHeight="1">
      <c r="A52" s="271"/>
      <c r="B52" s="71"/>
      <c r="C52" s="71"/>
      <c r="D52" s="56" t="s">
        <v>120</v>
      </c>
      <c r="E52" s="277"/>
      <c r="F52" s="277"/>
      <c r="H52" s="71"/>
      <c r="I52" s="71"/>
      <c r="J52" s="71"/>
      <c r="K52" s="71"/>
      <c r="L52" s="31"/>
      <c r="M52" s="303"/>
      <c r="N52" s="31"/>
      <c r="O52" s="72"/>
      <c r="P52" s="72"/>
    </row>
    <row r="53" spans="1:18" ht="20.25" customHeight="1">
      <c r="A53" s="271"/>
      <c r="B53" s="29">
        <f>(B54-B55)/B56</f>
        <v>129.43490765534673</v>
      </c>
      <c r="C53" s="24">
        <f>(C54-C55)/C56</f>
        <v>129.43490765534673</v>
      </c>
      <c r="D53" s="56" t="s">
        <v>121</v>
      </c>
      <c r="E53" s="277"/>
      <c r="F53" s="277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303"/>
      <c r="N53" s="60">
        <f>(N54-N55)/N56</f>
        <v>620.4029936935359</v>
      </c>
      <c r="O53" s="45">
        <f>(O54-O55)/O56</f>
        <v>0.51669758377336772</v>
      </c>
      <c r="P53" s="154">
        <f>(P54-P55)/P56</f>
        <v>1395.2629596653132</v>
      </c>
    </row>
    <row r="54" spans="1:18" s="90" customFormat="1" ht="44.25" customHeight="1">
      <c r="A54" s="271"/>
      <c r="B54" s="87">
        <v>331125000</v>
      </c>
      <c r="C54" s="87">
        <v>331125000</v>
      </c>
      <c r="D54" s="87" t="s">
        <v>267</v>
      </c>
      <c r="E54" s="277"/>
      <c r="F54" s="277"/>
      <c r="G54" s="109"/>
      <c r="H54" s="87"/>
      <c r="I54" s="87"/>
      <c r="J54" s="87">
        <v>331125000</v>
      </c>
      <c r="K54" s="87">
        <v>331125000</v>
      </c>
      <c r="L54" s="88">
        <v>1140408000</v>
      </c>
      <c r="M54" s="303"/>
      <c r="N54" s="88">
        <v>1586715000</v>
      </c>
      <c r="O54" s="89">
        <v>1323466</v>
      </c>
      <c r="P54" s="88">
        <v>3570468000</v>
      </c>
      <c r="R54" s="214"/>
    </row>
    <row r="55" spans="1:18" ht="33" customHeight="1">
      <c r="A55" s="271"/>
      <c r="B55" s="25">
        <v>111273.60000000001</v>
      </c>
      <c r="C55" s="25">
        <v>111273.60000000001</v>
      </c>
      <c r="D55" s="56" t="s">
        <v>122</v>
      </c>
      <c r="E55" s="277"/>
      <c r="F55" s="277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303"/>
      <c r="N55" s="31">
        <v>111273.60000000001</v>
      </c>
      <c r="O55" s="85">
        <v>2076</v>
      </c>
      <c r="P55" s="234">
        <v>2254598</v>
      </c>
    </row>
    <row r="56" spans="1:18" ht="37.5" customHeight="1">
      <c r="A56" s="271"/>
      <c r="B56" s="71">
        <v>2557376</v>
      </c>
      <c r="C56" s="71">
        <v>2557376</v>
      </c>
      <c r="D56" s="56" t="s">
        <v>123</v>
      </c>
      <c r="E56" s="277"/>
      <c r="F56" s="277"/>
      <c r="H56" s="71"/>
      <c r="I56" s="71"/>
      <c r="J56" s="71">
        <v>2557376</v>
      </c>
      <c r="K56" s="71">
        <v>2557376</v>
      </c>
      <c r="L56" s="31">
        <v>2557376</v>
      </c>
      <c r="M56" s="303"/>
      <c r="N56" s="31">
        <v>2557376</v>
      </c>
      <c r="O56" s="72">
        <v>2557376</v>
      </c>
      <c r="P56" s="229">
        <v>2557377</v>
      </c>
    </row>
    <row r="57" spans="1:18" ht="96.75" customHeight="1">
      <c r="A57" s="3" t="s">
        <v>41</v>
      </c>
      <c r="B57" s="71"/>
      <c r="C57" s="71"/>
      <c r="D57" s="71" t="s">
        <v>124</v>
      </c>
      <c r="E57" s="71" t="s">
        <v>125</v>
      </c>
      <c r="F57" s="71" t="s">
        <v>126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0"/>
      <c r="C58" s="110"/>
      <c r="D58" s="55"/>
      <c r="E58" s="55"/>
      <c r="F58" s="55"/>
    </row>
    <row r="59" spans="1:18" ht="15.75">
      <c r="A59" s="4"/>
      <c r="B59" s="110"/>
      <c r="C59" s="110"/>
      <c r="D59" s="55"/>
      <c r="E59" s="55"/>
      <c r="F59" s="55"/>
    </row>
    <row r="60" spans="1:18" ht="15.75">
      <c r="A60" s="286" t="s">
        <v>220</v>
      </c>
      <c r="B60" s="286"/>
      <c r="C60" s="286"/>
      <c r="D60" s="286"/>
      <c r="E60" s="286"/>
      <c r="F60" s="286"/>
    </row>
    <row r="61" spans="1:18" ht="15.75">
      <c r="A61" s="4"/>
      <c r="B61" s="110"/>
      <c r="C61" s="110"/>
      <c r="D61" s="55"/>
      <c r="E61" s="55"/>
      <c r="F61" s="55"/>
    </row>
    <row r="62" spans="1:18" ht="15.75">
      <c r="A62" s="4"/>
      <c r="B62" s="110"/>
      <c r="C62" s="110"/>
      <c r="D62" s="55"/>
      <c r="E62" s="55"/>
      <c r="F62" s="55"/>
    </row>
    <row r="63" spans="1:18" ht="15.75">
      <c r="A63" s="4"/>
      <c r="B63" s="110"/>
      <c r="C63" s="110"/>
      <c r="D63" s="55"/>
      <c r="E63" s="55"/>
      <c r="F63" s="55"/>
    </row>
    <row r="64" spans="1:18" ht="15.75">
      <c r="A64" s="4"/>
      <c r="B64" s="110"/>
      <c r="C64" s="110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275" t="s">
        <v>58</v>
      </c>
      <c r="B67" s="275"/>
      <c r="C67" s="275"/>
      <c r="D67" s="275"/>
      <c r="E67" s="275"/>
      <c r="F67" s="275"/>
    </row>
    <row r="68" spans="1:6">
      <c r="A68" s="275" t="s">
        <v>4</v>
      </c>
      <c r="B68" s="275"/>
      <c r="C68" s="275"/>
      <c r="D68" s="275"/>
      <c r="E68" s="275"/>
      <c r="F68" s="275"/>
    </row>
    <row r="69" spans="1:6" ht="18.75">
      <c r="A69" s="276" t="s">
        <v>59</v>
      </c>
      <c r="B69" s="276"/>
      <c r="C69" s="276"/>
      <c r="D69" s="276"/>
      <c r="E69" s="276"/>
      <c r="F69" s="276"/>
    </row>
    <row r="70" spans="1:6" ht="18.75">
      <c r="A70" s="276" t="s">
        <v>199</v>
      </c>
      <c r="B70" s="276"/>
      <c r="C70" s="276"/>
      <c r="D70" s="276"/>
      <c r="E70" s="276"/>
      <c r="F70" s="276"/>
    </row>
    <row r="71" spans="1:6" ht="16.5" thickBot="1">
      <c r="A71" s="1" t="s">
        <v>2</v>
      </c>
      <c r="B71" s="100"/>
      <c r="C71" s="100"/>
    </row>
    <row r="72" spans="1:6" ht="34.5" customHeight="1" thickBot="1">
      <c r="A72" s="11" t="s">
        <v>8</v>
      </c>
      <c r="B72" s="101" t="s">
        <v>212</v>
      </c>
      <c r="C72" s="101" t="s">
        <v>213</v>
      </c>
      <c r="D72" s="102" t="s">
        <v>60</v>
      </c>
      <c r="E72" s="101" t="s">
        <v>191</v>
      </c>
      <c r="F72" s="111" t="s">
        <v>61</v>
      </c>
    </row>
    <row r="73" spans="1:6" ht="27" customHeight="1" thickBot="1">
      <c r="A73" s="289" t="s">
        <v>62</v>
      </c>
      <c r="B73" s="290"/>
      <c r="C73" s="290"/>
      <c r="D73" s="291"/>
      <c r="E73" s="291"/>
      <c r="F73" s="292"/>
    </row>
    <row r="74" spans="1:6" ht="32.25" customHeight="1">
      <c r="A74" s="269" t="s">
        <v>200</v>
      </c>
      <c r="B74" s="25">
        <f>661788+487741+6510773</f>
        <v>7660302</v>
      </c>
      <c r="C74" s="25">
        <f>517502+507626+7373516</f>
        <v>8398644</v>
      </c>
      <c r="D74" s="106" t="s">
        <v>229</v>
      </c>
      <c r="E74" s="288" t="s">
        <v>201</v>
      </c>
      <c r="F74" s="288" t="s">
        <v>75</v>
      </c>
    </row>
    <row r="75" spans="1:6" ht="16.5" customHeight="1">
      <c r="A75" s="269"/>
      <c r="B75" s="71"/>
      <c r="C75" s="71"/>
      <c r="D75" s="71" t="s">
        <v>64</v>
      </c>
      <c r="E75" s="277"/>
      <c r="F75" s="277"/>
    </row>
    <row r="76" spans="1:6" ht="16.5" customHeight="1">
      <c r="A76" s="269"/>
      <c r="B76" s="277">
        <f>441694+181752+487741</f>
        <v>1111187</v>
      </c>
      <c r="C76" s="277">
        <f>337904+150463+507626</f>
        <v>995993</v>
      </c>
      <c r="D76" s="71" t="s">
        <v>65</v>
      </c>
      <c r="E76" s="277"/>
      <c r="F76" s="277"/>
    </row>
    <row r="77" spans="1:6" ht="16.5" customHeight="1">
      <c r="A77" s="269"/>
      <c r="B77" s="277"/>
      <c r="C77" s="277"/>
      <c r="D77" s="71" t="s">
        <v>66</v>
      </c>
      <c r="E77" s="277"/>
      <c r="F77" s="277"/>
    </row>
    <row r="78" spans="1:6" ht="16.5" customHeight="1">
      <c r="A78" s="269"/>
      <c r="B78" s="277"/>
      <c r="C78" s="277"/>
      <c r="D78" s="71" t="s">
        <v>67</v>
      </c>
      <c r="E78" s="277"/>
      <c r="F78" s="277"/>
    </row>
    <row r="79" spans="1:6" ht="16.5" customHeight="1">
      <c r="A79" s="269"/>
      <c r="B79" s="277"/>
      <c r="C79" s="277"/>
      <c r="D79" s="71" t="s">
        <v>68</v>
      </c>
      <c r="E79" s="277"/>
      <c r="F79" s="277"/>
    </row>
    <row r="80" spans="1:6" ht="16.5" customHeight="1">
      <c r="A80" s="269"/>
      <c r="B80" s="277"/>
      <c r="C80" s="277"/>
      <c r="D80" s="71" t="s">
        <v>69</v>
      </c>
      <c r="E80" s="277"/>
      <c r="F80" s="277"/>
    </row>
    <row r="81" spans="1:8" ht="16.5" customHeight="1">
      <c r="A81" s="269"/>
      <c r="B81" s="277"/>
      <c r="C81" s="277"/>
      <c r="D81" s="71" t="s">
        <v>70</v>
      </c>
      <c r="E81" s="277"/>
      <c r="F81" s="277"/>
    </row>
    <row r="82" spans="1:8" ht="16.5" customHeight="1">
      <c r="A82" s="269"/>
      <c r="B82" s="277"/>
      <c r="C82" s="277"/>
      <c r="D82" s="71" t="s">
        <v>71</v>
      </c>
      <c r="E82" s="277"/>
      <c r="F82" s="277"/>
    </row>
    <row r="83" spans="1:8" ht="16.5" customHeight="1">
      <c r="A83" s="269"/>
      <c r="B83" s="277"/>
      <c r="C83" s="277"/>
      <c r="D83" s="71" t="s">
        <v>72</v>
      </c>
      <c r="E83" s="277"/>
      <c r="F83" s="277"/>
      <c r="H83" s="71"/>
    </row>
    <row r="84" spans="1:8" ht="25.5">
      <c r="A84" s="269"/>
      <c r="B84" s="277">
        <f>6510773</f>
        <v>6510773</v>
      </c>
      <c r="C84" s="277">
        <f>704138-255581</f>
        <v>448557</v>
      </c>
      <c r="D84" s="71" t="s">
        <v>73</v>
      </c>
      <c r="E84" s="277"/>
      <c r="F84" s="277"/>
    </row>
    <row r="85" spans="1:8">
      <c r="A85" s="269"/>
      <c r="B85" s="277"/>
      <c r="C85" s="277"/>
      <c r="D85" s="71" t="s">
        <v>74</v>
      </c>
      <c r="E85" s="277"/>
      <c r="F85" s="277"/>
    </row>
    <row r="86" spans="1:8">
      <c r="A86" s="270"/>
      <c r="B86" s="277"/>
      <c r="C86" s="277"/>
      <c r="D86" s="71" t="s">
        <v>72</v>
      </c>
      <c r="E86" s="277"/>
      <c r="F86" s="277"/>
    </row>
    <row r="87" spans="1:8" ht="105.75" customHeight="1">
      <c r="A87" s="26" t="s">
        <v>76</v>
      </c>
      <c r="B87" s="24">
        <f>5975802/77639885</f>
        <v>7.6968197467062197E-2</v>
      </c>
      <c r="C87" s="24">
        <f>5116460/62516693</f>
        <v>8.184150111714962E-2</v>
      </c>
      <c r="D87" s="71" t="s">
        <v>77</v>
      </c>
      <c r="E87" s="107" t="s">
        <v>202</v>
      </c>
      <c r="F87" s="107" t="s">
        <v>78</v>
      </c>
    </row>
    <row r="88" spans="1:8" ht="102">
      <c r="A88" s="26" t="s">
        <v>79</v>
      </c>
      <c r="B88" s="71">
        <f>441694</f>
        <v>441694</v>
      </c>
      <c r="C88" s="28">
        <f>337904/5610415</f>
        <v>6.0227986699736114E-2</v>
      </c>
      <c r="D88" s="71" t="s">
        <v>80</v>
      </c>
      <c r="E88" s="71" t="s">
        <v>214</v>
      </c>
      <c r="F88" s="71" t="s">
        <v>81</v>
      </c>
    </row>
    <row r="89" spans="1:8" ht="114.75" customHeight="1">
      <c r="A89" s="26" t="s">
        <v>82</v>
      </c>
      <c r="B89" s="71">
        <f>441694/639863</f>
        <v>0.6902946411966312</v>
      </c>
      <c r="C89" s="28">
        <f>337904/639863</f>
        <v>0.52808804384688601</v>
      </c>
      <c r="D89" s="71" t="s">
        <v>83</v>
      </c>
      <c r="E89" s="71" t="s">
        <v>203</v>
      </c>
      <c r="F89" s="71" t="s">
        <v>84</v>
      </c>
    </row>
    <row r="90" spans="1:8" ht="121.5" customHeight="1">
      <c r="A90" s="26" t="s">
        <v>85</v>
      </c>
      <c r="B90" s="71"/>
      <c r="C90" s="28">
        <f>250-250+38.8/250</f>
        <v>0.15519999999999998</v>
      </c>
      <c r="D90" s="71" t="s">
        <v>86</v>
      </c>
      <c r="E90" s="71" t="s">
        <v>203</v>
      </c>
      <c r="F90" s="71" t="s">
        <v>87</v>
      </c>
    </row>
    <row r="91" spans="1:8" ht="24" customHeight="1">
      <c r="A91" s="271" t="s">
        <v>27</v>
      </c>
      <c r="B91" s="71"/>
      <c r="C91" s="24">
        <f>517502/23099082</f>
        <v>2.2403574306546034E-2</v>
      </c>
      <c r="D91" s="56" t="s">
        <v>88</v>
      </c>
      <c r="E91" s="277" t="s">
        <v>204</v>
      </c>
      <c r="F91" s="277" t="s">
        <v>94</v>
      </c>
      <c r="G91" s="287" t="s">
        <v>215</v>
      </c>
    </row>
    <row r="92" spans="1:8" ht="39">
      <c r="A92" s="271"/>
      <c r="B92" s="71"/>
      <c r="C92" s="71">
        <f>517502</f>
        <v>517502</v>
      </c>
      <c r="D92" s="56" t="s">
        <v>89</v>
      </c>
      <c r="E92" s="277"/>
      <c r="F92" s="277"/>
      <c r="G92" s="287"/>
    </row>
    <row r="93" spans="1:8" ht="26.25">
      <c r="A93" s="271"/>
      <c r="B93" s="71"/>
      <c r="C93" s="25"/>
      <c r="D93" s="56" t="s">
        <v>90</v>
      </c>
      <c r="E93" s="277"/>
      <c r="F93" s="277"/>
      <c r="G93" s="287"/>
    </row>
    <row r="94" spans="1:8">
      <c r="A94" s="271"/>
      <c r="B94" s="71"/>
      <c r="C94" s="25">
        <f>(19955556+26242607)/2</f>
        <v>23099081.5</v>
      </c>
      <c r="D94" s="56" t="s">
        <v>91</v>
      </c>
      <c r="E94" s="277"/>
      <c r="F94" s="277"/>
      <c r="G94" s="287"/>
    </row>
    <row r="95" spans="1:8" ht="34.5" customHeight="1">
      <c r="A95" s="271"/>
      <c r="B95" s="71"/>
      <c r="C95" s="71">
        <f>67335177-32314063-4027553-11038005</f>
        <v>19955556</v>
      </c>
      <c r="D95" s="56" t="s">
        <v>92</v>
      </c>
      <c r="E95" s="277"/>
      <c r="F95" s="277"/>
      <c r="G95" s="287"/>
    </row>
    <row r="96" spans="1:8" ht="38.25" customHeight="1">
      <c r="A96" s="271"/>
      <c r="B96" s="71"/>
      <c r="C96" s="71">
        <f>82046517-49629686-1582605-4591619</f>
        <v>26242607</v>
      </c>
      <c r="D96" s="56" t="s">
        <v>93</v>
      </c>
      <c r="E96" s="277"/>
      <c r="F96" s="277"/>
      <c r="G96" s="287"/>
    </row>
    <row r="97" spans="1:7" ht="30" customHeight="1">
      <c r="A97" s="271" t="s">
        <v>29</v>
      </c>
      <c r="B97" s="71"/>
      <c r="C97" s="28">
        <f>9869808/18445969</f>
        <v>0.5350658455514048</v>
      </c>
      <c r="D97" s="56" t="s">
        <v>95</v>
      </c>
      <c r="E97" s="277" t="s">
        <v>205</v>
      </c>
      <c r="F97" s="277" t="s">
        <v>98</v>
      </c>
      <c r="G97" s="287" t="s">
        <v>216</v>
      </c>
    </row>
    <row r="98" spans="1:7" ht="26.25">
      <c r="A98" s="271"/>
      <c r="B98" s="71"/>
      <c r="C98" s="71">
        <f>9869808</f>
        <v>9869808</v>
      </c>
      <c r="D98" s="56" t="s">
        <v>96</v>
      </c>
      <c r="E98" s="277"/>
      <c r="F98" s="277"/>
      <c r="G98" s="287"/>
    </row>
    <row r="99" spans="1:7" ht="26.25">
      <c r="A99" s="271"/>
      <c r="B99" s="71"/>
      <c r="C99" s="71">
        <f>76436102-33758250-15597883-8634000</f>
        <v>18445969</v>
      </c>
      <c r="D99" s="56" t="s">
        <v>97</v>
      </c>
      <c r="E99" s="277"/>
      <c r="F99" s="277"/>
      <c r="G99" s="287"/>
    </row>
    <row r="100" spans="1:7" ht="36.75" customHeight="1">
      <c r="A100" s="271" t="s">
        <v>31</v>
      </c>
      <c r="B100" s="71"/>
      <c r="C100" s="29">
        <f>5610415/(C102-C103)</f>
        <v>0.73381424912158078</v>
      </c>
      <c r="D100" s="56" t="s">
        <v>99</v>
      </c>
      <c r="E100" s="277" t="s">
        <v>206</v>
      </c>
      <c r="F100" s="277" t="s">
        <v>103</v>
      </c>
      <c r="G100" s="287" t="s">
        <v>221</v>
      </c>
    </row>
    <row r="101" spans="1:7" ht="63" customHeight="1">
      <c r="A101" s="271"/>
      <c r="B101" s="71"/>
      <c r="C101" s="71">
        <f>5610415</f>
        <v>5610415</v>
      </c>
      <c r="D101" s="56" t="s">
        <v>100</v>
      </c>
      <c r="E101" s="277"/>
      <c r="F101" s="277"/>
      <c r="G101" s="287"/>
    </row>
    <row r="102" spans="1:7">
      <c r="A102" s="271"/>
      <c r="B102" s="71"/>
      <c r="C102" s="71">
        <f>76436102-33758250-15597883-10800417</f>
        <v>16279552</v>
      </c>
      <c r="D102" s="56" t="s">
        <v>101</v>
      </c>
      <c r="E102" s="277"/>
      <c r="F102" s="277"/>
      <c r="G102" s="287"/>
    </row>
    <row r="103" spans="1:7" ht="39" customHeight="1">
      <c r="A103" s="271"/>
      <c r="B103" s="71"/>
      <c r="C103" s="71">
        <v>8634000</v>
      </c>
      <c r="D103" s="56" t="s">
        <v>102</v>
      </c>
      <c r="E103" s="277"/>
      <c r="F103" s="277"/>
      <c r="G103" s="287"/>
    </row>
    <row r="104" spans="1:7" ht="25.5" customHeight="1">
      <c r="A104" s="271" t="s">
        <v>33</v>
      </c>
      <c r="B104" s="71"/>
      <c r="C104" s="29">
        <f>90/(62516693/7231523)</f>
        <v>10.410612570309821</v>
      </c>
      <c r="D104" s="56" t="s">
        <v>104</v>
      </c>
      <c r="E104" s="277" t="s">
        <v>207</v>
      </c>
      <c r="F104" s="277" t="s">
        <v>108</v>
      </c>
      <c r="G104" s="287" t="s">
        <v>216</v>
      </c>
    </row>
    <row r="105" spans="1:7" ht="68.25" customHeight="1">
      <c r="A105" s="271"/>
      <c r="B105" s="71"/>
      <c r="C105" s="71">
        <v>62516693</v>
      </c>
      <c r="D105" s="56" t="s">
        <v>105</v>
      </c>
      <c r="E105" s="277"/>
      <c r="F105" s="277"/>
      <c r="G105" s="287"/>
    </row>
    <row r="106" spans="1:7" ht="30.75" customHeight="1">
      <c r="A106" s="271"/>
      <c r="B106" s="71"/>
      <c r="C106" s="71">
        <v>90</v>
      </c>
      <c r="D106" s="56" t="s">
        <v>106</v>
      </c>
      <c r="E106" s="277"/>
      <c r="F106" s="277"/>
      <c r="G106" s="287"/>
    </row>
    <row r="107" spans="1:7" ht="99.75" customHeight="1">
      <c r="A107" s="271"/>
      <c r="B107" s="71"/>
      <c r="C107" s="71">
        <f>47953656-33758250-15597883--8634000</f>
        <v>7231523</v>
      </c>
      <c r="D107" s="56" t="s">
        <v>107</v>
      </c>
      <c r="E107" s="277"/>
      <c r="F107" s="277"/>
      <c r="G107" s="287"/>
    </row>
    <row r="108" spans="1:7" ht="15" customHeight="1">
      <c r="A108" s="271" t="s">
        <v>35</v>
      </c>
      <c r="B108" s="71"/>
      <c r="C108" s="29">
        <f>90/(62516693/1015793)</f>
        <v>1.462351343504366</v>
      </c>
      <c r="D108" s="56" t="s">
        <v>109</v>
      </c>
      <c r="E108" s="277" t="s">
        <v>208</v>
      </c>
      <c r="F108" s="277" t="s">
        <v>113</v>
      </c>
      <c r="G108" s="287" t="s">
        <v>217</v>
      </c>
    </row>
    <row r="109" spans="1:7" ht="51.75">
      <c r="A109" s="271"/>
      <c r="B109" s="71"/>
      <c r="C109" s="71">
        <v>62516693</v>
      </c>
      <c r="D109" s="56" t="s">
        <v>110</v>
      </c>
      <c r="E109" s="277"/>
      <c r="F109" s="277"/>
      <c r="G109" s="287"/>
    </row>
    <row r="110" spans="1:7">
      <c r="A110" s="271"/>
      <c r="B110" s="71"/>
      <c r="C110" s="71">
        <v>90</v>
      </c>
      <c r="D110" s="56" t="s">
        <v>111</v>
      </c>
      <c r="E110" s="277"/>
      <c r="F110" s="277"/>
      <c r="G110" s="287"/>
    </row>
    <row r="111" spans="1:7" ht="51.75">
      <c r="A111" s="271"/>
      <c r="B111" s="71"/>
      <c r="C111" s="71">
        <f>7190014-1582602-4591619</f>
        <v>1015793</v>
      </c>
      <c r="D111" s="56" t="s">
        <v>112</v>
      </c>
      <c r="E111" s="277"/>
      <c r="F111" s="277"/>
      <c r="G111" s="287"/>
    </row>
    <row r="112" spans="1:7" ht="39" customHeight="1">
      <c r="A112" s="271" t="s">
        <v>37</v>
      </c>
      <c r="B112" s="71"/>
      <c r="C112" s="28">
        <f>68440935/(60838216-8634000)</f>
        <v>1.3110231365221536</v>
      </c>
      <c r="D112" s="56" t="s">
        <v>114</v>
      </c>
      <c r="E112" s="277" t="s">
        <v>209</v>
      </c>
      <c r="F112" s="277" t="s">
        <v>116</v>
      </c>
      <c r="G112" s="287" t="s">
        <v>218</v>
      </c>
    </row>
    <row r="113" spans="1:7" ht="39">
      <c r="A113" s="271"/>
      <c r="B113" s="71"/>
      <c r="C113" s="71">
        <f>68440935</f>
        <v>68440935</v>
      </c>
      <c r="D113" s="56" t="s">
        <v>115</v>
      </c>
      <c r="E113" s="277"/>
      <c r="F113" s="277"/>
      <c r="G113" s="287"/>
    </row>
    <row r="114" spans="1:7">
      <c r="A114" s="271"/>
      <c r="B114" s="71"/>
      <c r="C114" s="71">
        <f>76436102-15597886</f>
        <v>60838216</v>
      </c>
      <c r="D114" s="56" t="s">
        <v>101</v>
      </c>
      <c r="E114" s="277"/>
      <c r="F114" s="277"/>
      <c r="G114" s="287"/>
    </row>
    <row r="115" spans="1:7" ht="57.75" customHeight="1">
      <c r="A115" s="271"/>
      <c r="B115" s="71"/>
      <c r="C115" s="71">
        <v>8634000</v>
      </c>
      <c r="D115" s="56" t="s">
        <v>102</v>
      </c>
      <c r="E115" s="277"/>
      <c r="F115" s="277"/>
      <c r="G115" s="287"/>
    </row>
    <row r="116" spans="1:7" ht="21" customHeight="1">
      <c r="A116" s="271" t="s">
        <v>117</v>
      </c>
      <c r="B116" s="71"/>
      <c r="C116" s="28">
        <f>C117/C119</f>
        <v>0.29374874307536303</v>
      </c>
      <c r="D116" s="56" t="s">
        <v>118</v>
      </c>
      <c r="E116" s="277" t="s">
        <v>210</v>
      </c>
      <c r="F116" s="277" t="s">
        <v>211</v>
      </c>
    </row>
    <row r="117" spans="1:7" ht="35.25" customHeight="1">
      <c r="A117" s="271"/>
      <c r="B117" s="71"/>
      <c r="C117" s="71">
        <v>38.799999999999997</v>
      </c>
      <c r="D117" s="56" t="s">
        <v>119</v>
      </c>
      <c r="E117" s="277"/>
      <c r="F117" s="277"/>
    </row>
    <row r="118" spans="1:7" ht="20.25" customHeight="1">
      <c r="A118" s="271"/>
      <c r="B118" s="71"/>
      <c r="C118" s="71"/>
      <c r="D118" s="56" t="s">
        <v>120</v>
      </c>
      <c r="E118" s="277"/>
      <c r="F118" s="277"/>
    </row>
    <row r="119" spans="1:7" ht="20.25" customHeight="1">
      <c r="A119" s="271"/>
      <c r="B119" s="71"/>
      <c r="C119" s="29">
        <f>(C120-C121)/C122</f>
        <v>132.08567156335243</v>
      </c>
      <c r="D119" s="56" t="s">
        <v>121</v>
      </c>
      <c r="E119" s="277"/>
      <c r="F119" s="277"/>
    </row>
    <row r="120" spans="1:7" ht="44.25" customHeight="1">
      <c r="A120" s="271"/>
      <c r="B120" s="71"/>
      <c r="C120" s="71">
        <v>337904000</v>
      </c>
      <c r="D120" s="71" t="s">
        <v>219</v>
      </c>
      <c r="E120" s="277"/>
      <c r="F120" s="277"/>
    </row>
    <row r="121" spans="1:7" ht="33" customHeight="1">
      <c r="A121" s="271"/>
      <c r="B121" s="71"/>
      <c r="C121" s="25">
        <v>111273.60000000001</v>
      </c>
      <c r="D121" s="56" t="s">
        <v>122</v>
      </c>
      <c r="E121" s="277"/>
      <c r="F121" s="277"/>
    </row>
    <row r="122" spans="1:7" ht="37.5" customHeight="1">
      <c r="A122" s="271"/>
      <c r="B122" s="71"/>
      <c r="C122" s="71">
        <v>2557376</v>
      </c>
      <c r="D122" s="56" t="s">
        <v>123</v>
      </c>
      <c r="E122" s="277"/>
      <c r="F122" s="277"/>
    </row>
    <row r="123" spans="1:7" ht="96.75" customHeight="1">
      <c r="A123" s="26" t="s">
        <v>41</v>
      </c>
      <c r="B123" s="71"/>
      <c r="C123" s="71"/>
      <c r="D123" s="71" t="s">
        <v>124</v>
      </c>
      <c r="E123" s="71" t="s">
        <v>125</v>
      </c>
      <c r="F123" s="71" t="s">
        <v>126</v>
      </c>
    </row>
    <row r="124" spans="1:7" ht="15.75">
      <c r="A124" s="4" t="s">
        <v>0</v>
      </c>
      <c r="B124" s="110"/>
      <c r="C124" s="110"/>
      <c r="D124" s="55"/>
      <c r="E124" s="55"/>
      <c r="F124" s="55"/>
    </row>
    <row r="125" spans="1:7" ht="15.75">
      <c r="A125" s="4"/>
      <c r="B125" s="110"/>
      <c r="C125" s="110"/>
      <c r="D125" s="55"/>
      <c r="E125" s="55"/>
      <c r="F125" s="55"/>
    </row>
    <row r="126" spans="1:7" ht="15.75">
      <c r="A126" s="286" t="s">
        <v>220</v>
      </c>
      <c r="B126" s="286"/>
      <c r="C126" s="286"/>
      <c r="D126" s="286"/>
      <c r="E126" s="286"/>
      <c r="F126" s="286"/>
    </row>
    <row r="127" spans="1:7" ht="15.75">
      <c r="A127" s="4"/>
      <c r="B127" s="110"/>
      <c r="C127" s="110"/>
      <c r="D127" s="55"/>
      <c r="E127" s="55"/>
      <c r="F127" s="55"/>
    </row>
    <row r="131" spans="1:12">
      <c r="A131" s="293" t="s">
        <v>58</v>
      </c>
      <c r="B131" s="293"/>
      <c r="C131" s="293"/>
      <c r="D131" s="293"/>
      <c r="E131" s="293"/>
      <c r="F131" s="293"/>
    </row>
    <row r="132" spans="1:12">
      <c r="A132" s="293" t="s">
        <v>4</v>
      </c>
      <c r="B132" s="293"/>
      <c r="C132" s="293"/>
      <c r="D132" s="293"/>
      <c r="E132" s="293"/>
      <c r="F132" s="293"/>
    </row>
    <row r="133" spans="1:12" ht="18.75">
      <c r="A133" s="294" t="s">
        <v>59</v>
      </c>
      <c r="B133" s="294"/>
      <c r="C133" s="294"/>
      <c r="D133" s="294"/>
      <c r="E133" s="294"/>
      <c r="F133" s="294"/>
    </row>
    <row r="134" spans="1:12" ht="18.75">
      <c r="A134" s="294" t="s">
        <v>245</v>
      </c>
      <c r="B134" s="294"/>
      <c r="C134" s="294"/>
      <c r="D134" s="294"/>
      <c r="E134" s="294"/>
      <c r="F134" s="294"/>
    </row>
    <row r="135" spans="1:12" ht="16.5" thickBot="1">
      <c r="A135" s="43" t="s">
        <v>2</v>
      </c>
      <c r="B135" s="100"/>
      <c r="C135" s="100"/>
      <c r="H135" s="302" t="s">
        <v>246</v>
      </c>
      <c r="I135" s="302"/>
      <c r="J135" s="302"/>
      <c r="K135" s="302"/>
      <c r="L135" s="31" t="s">
        <v>247</v>
      </c>
    </row>
    <row r="136" spans="1:12" ht="34.5" customHeight="1" thickBot="1">
      <c r="A136" s="44" t="s">
        <v>8</v>
      </c>
      <c r="B136" s="101" t="s">
        <v>231</v>
      </c>
      <c r="C136" s="101" t="s">
        <v>213</v>
      </c>
      <c r="D136" s="102" t="s">
        <v>60</v>
      </c>
      <c r="E136" s="103" t="s">
        <v>191</v>
      </c>
      <c r="F136" s="104" t="s">
        <v>61</v>
      </c>
      <c r="H136" s="31" t="s">
        <v>225</v>
      </c>
      <c r="I136" s="31" t="s">
        <v>226</v>
      </c>
      <c r="J136" s="31" t="s">
        <v>227</v>
      </c>
      <c r="K136" s="31" t="s">
        <v>228</v>
      </c>
      <c r="L136" s="31" t="s">
        <v>248</v>
      </c>
    </row>
    <row r="137" spans="1:12" ht="27" customHeight="1" thickBot="1">
      <c r="A137" s="295" t="s">
        <v>62</v>
      </c>
      <c r="B137" s="296"/>
      <c r="C137" s="296"/>
      <c r="D137" s="297"/>
      <c r="E137" s="297"/>
      <c r="F137" s="298"/>
      <c r="H137" s="31"/>
      <c r="I137" s="31"/>
      <c r="J137" s="31"/>
      <c r="K137" s="105"/>
      <c r="L137" s="31"/>
    </row>
    <row r="138" spans="1:12" ht="31.5" customHeight="1">
      <c r="A138" s="269" t="s">
        <v>200</v>
      </c>
      <c r="B138" s="25">
        <f>517502+507626+B148</f>
        <v>2469678</v>
      </c>
      <c r="C138" s="25">
        <f>517502+507626+C148</f>
        <v>2469678</v>
      </c>
      <c r="D138" s="106" t="s">
        <v>229</v>
      </c>
      <c r="E138" s="288" t="s">
        <v>201</v>
      </c>
      <c r="F138" s="288" t="s">
        <v>75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269"/>
      <c r="B139" s="71"/>
      <c r="C139" s="71"/>
      <c r="D139" s="71" t="s">
        <v>64</v>
      </c>
      <c r="E139" s="277"/>
      <c r="F139" s="277"/>
      <c r="H139" s="71"/>
      <c r="I139" s="71"/>
      <c r="J139" s="71"/>
      <c r="K139" s="71"/>
      <c r="L139" s="31"/>
    </row>
    <row r="140" spans="1:12" ht="16.5" customHeight="1">
      <c r="A140" s="269"/>
      <c r="B140" s="277">
        <f>337904+150463+507626</f>
        <v>995993</v>
      </c>
      <c r="C140" s="277">
        <f>337904+150463+507626</f>
        <v>995993</v>
      </c>
      <c r="D140" s="71" t="s">
        <v>65</v>
      </c>
      <c r="E140" s="277"/>
      <c r="F140" s="277"/>
      <c r="H140" s="277">
        <f>112665+62167+125992</f>
        <v>300824</v>
      </c>
      <c r="I140" s="277">
        <f>225145+102829+418386</f>
        <v>746360</v>
      </c>
      <c r="J140" s="277">
        <f>337904+150463+507626</f>
        <v>995993</v>
      </c>
      <c r="K140" s="282">
        <f>J140/3*4</f>
        <v>1327990.6666666667</v>
      </c>
      <c r="L140" s="299">
        <f>1586715+317260+628218</f>
        <v>2532193</v>
      </c>
    </row>
    <row r="141" spans="1:12" ht="16.5" customHeight="1">
      <c r="A141" s="269"/>
      <c r="B141" s="277"/>
      <c r="C141" s="277"/>
      <c r="D141" s="71" t="s">
        <v>66</v>
      </c>
      <c r="E141" s="277"/>
      <c r="F141" s="277"/>
      <c r="H141" s="277"/>
      <c r="I141" s="277"/>
      <c r="J141" s="277"/>
      <c r="K141" s="282"/>
      <c r="L141" s="300"/>
    </row>
    <row r="142" spans="1:12" ht="16.5" customHeight="1">
      <c r="A142" s="269"/>
      <c r="B142" s="277"/>
      <c r="C142" s="277"/>
      <c r="D142" s="71" t="s">
        <v>67</v>
      </c>
      <c r="E142" s="277"/>
      <c r="F142" s="277"/>
      <c r="H142" s="277"/>
      <c r="I142" s="277"/>
      <c r="J142" s="277"/>
      <c r="K142" s="282"/>
      <c r="L142" s="300"/>
    </row>
    <row r="143" spans="1:12" ht="16.5" customHeight="1">
      <c r="A143" s="269"/>
      <c r="B143" s="277"/>
      <c r="C143" s="277"/>
      <c r="D143" s="71" t="s">
        <v>68</v>
      </c>
      <c r="E143" s="277"/>
      <c r="F143" s="277"/>
      <c r="H143" s="277"/>
      <c r="I143" s="277"/>
      <c r="J143" s="277"/>
      <c r="K143" s="282"/>
      <c r="L143" s="300"/>
    </row>
    <row r="144" spans="1:12" ht="16.5" customHeight="1">
      <c r="A144" s="269"/>
      <c r="B144" s="277"/>
      <c r="C144" s="277"/>
      <c r="D144" s="71" t="s">
        <v>69</v>
      </c>
      <c r="E144" s="277"/>
      <c r="F144" s="277"/>
      <c r="H144" s="277"/>
      <c r="I144" s="277"/>
      <c r="J144" s="277"/>
      <c r="K144" s="282"/>
      <c r="L144" s="300"/>
    </row>
    <row r="145" spans="1:12" ht="16.5" customHeight="1">
      <c r="A145" s="269"/>
      <c r="B145" s="277"/>
      <c r="C145" s="277"/>
      <c r="D145" s="71" t="s">
        <v>70</v>
      </c>
      <c r="E145" s="277"/>
      <c r="F145" s="277"/>
      <c r="H145" s="277"/>
      <c r="I145" s="277"/>
      <c r="J145" s="277"/>
      <c r="K145" s="282"/>
      <c r="L145" s="300"/>
    </row>
    <row r="146" spans="1:12" ht="16.5" customHeight="1">
      <c r="A146" s="269"/>
      <c r="B146" s="277"/>
      <c r="C146" s="277"/>
      <c r="D146" s="71" t="s">
        <v>71</v>
      </c>
      <c r="E146" s="277"/>
      <c r="F146" s="277"/>
      <c r="H146" s="277"/>
      <c r="I146" s="277"/>
      <c r="J146" s="277"/>
      <c r="K146" s="282"/>
      <c r="L146" s="300"/>
    </row>
    <row r="147" spans="1:12" ht="16.5" customHeight="1">
      <c r="A147" s="269"/>
      <c r="B147" s="277"/>
      <c r="C147" s="277"/>
      <c r="D147" s="71" t="s">
        <v>72</v>
      </c>
      <c r="E147" s="277"/>
      <c r="F147" s="277"/>
      <c r="H147" s="277"/>
      <c r="I147" s="277"/>
      <c r="J147" s="277"/>
      <c r="K147" s="282"/>
      <c r="L147" s="301"/>
    </row>
    <row r="148" spans="1:12" ht="25.5">
      <c r="A148" s="269"/>
      <c r="B148" s="277">
        <f>B140+704138-255581</f>
        <v>1444550</v>
      </c>
      <c r="C148" s="277">
        <f>C140+704138-255581</f>
        <v>1444550</v>
      </c>
      <c r="D148" s="71" t="s">
        <v>73</v>
      </c>
      <c r="E148" s="277"/>
      <c r="F148" s="277"/>
      <c r="H148" s="277">
        <f>H140+234172-255581</f>
        <v>279415</v>
      </c>
      <c r="I148" s="277">
        <f>I140+470921-255581</f>
        <v>961700</v>
      </c>
      <c r="J148" s="277">
        <f>J140+704138-255581</f>
        <v>1444550</v>
      </c>
      <c r="K148" s="282">
        <f>J148/3*4</f>
        <v>1926066.6666666667</v>
      </c>
      <c r="L148" s="299">
        <f>L140+925732-255581</f>
        <v>3202344</v>
      </c>
    </row>
    <row r="149" spans="1:12">
      <c r="A149" s="269"/>
      <c r="B149" s="277"/>
      <c r="C149" s="277"/>
      <c r="D149" s="71" t="s">
        <v>74</v>
      </c>
      <c r="E149" s="277"/>
      <c r="F149" s="277"/>
      <c r="H149" s="277"/>
      <c r="I149" s="277"/>
      <c r="J149" s="277"/>
      <c r="K149" s="282"/>
      <c r="L149" s="300"/>
    </row>
    <row r="150" spans="1:12">
      <c r="A150" s="269"/>
      <c r="B150" s="277"/>
      <c r="C150" s="277"/>
      <c r="D150" s="30" t="s">
        <v>232</v>
      </c>
      <c r="E150" s="277"/>
      <c r="F150" s="277"/>
      <c r="H150" s="277"/>
      <c r="I150" s="277"/>
      <c r="J150" s="277"/>
      <c r="K150" s="282"/>
      <c r="L150" s="301"/>
    </row>
    <row r="151" spans="1:12" ht="105.75" customHeight="1">
      <c r="A151" s="40" t="s">
        <v>76</v>
      </c>
      <c r="B151" s="24">
        <f>5116460/62516693</f>
        <v>8.184150111714962E-2</v>
      </c>
      <c r="C151" s="24">
        <f>5116460/62516693</f>
        <v>8.184150111714962E-2</v>
      </c>
      <c r="D151" s="71" t="s">
        <v>77</v>
      </c>
      <c r="E151" s="107" t="s">
        <v>202</v>
      </c>
      <c r="F151" s="107" t="s">
        <v>78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79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80</v>
      </c>
      <c r="E152" s="71" t="s">
        <v>214</v>
      </c>
      <c r="F152" s="71" t="s">
        <v>81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82</v>
      </c>
      <c r="B153" s="28">
        <f>337904/639863</f>
        <v>0.52808804384688601</v>
      </c>
      <c r="C153" s="28">
        <f>337904/639863</f>
        <v>0.52808804384688601</v>
      </c>
      <c r="D153" s="71" t="s">
        <v>83</v>
      </c>
      <c r="E153" s="71" t="s">
        <v>203</v>
      </c>
      <c r="F153" s="71" t="s">
        <v>84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85</v>
      </c>
      <c r="B154" s="28">
        <f>250-250+38.8/250</f>
        <v>0.15519999999999998</v>
      </c>
      <c r="C154" s="28">
        <f>250-250+38.8/250</f>
        <v>0.15519999999999998</v>
      </c>
      <c r="D154" s="71" t="s">
        <v>86</v>
      </c>
      <c r="E154" s="71" t="s">
        <v>203</v>
      </c>
      <c r="F154" s="71" t="s">
        <v>87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271" t="s">
        <v>27</v>
      </c>
      <c r="B155" s="24">
        <f>B156/B158</f>
        <v>2.2403574791491167E-2</v>
      </c>
      <c r="C155" s="24">
        <f>C156/C158</f>
        <v>6.9285865776833409E-3</v>
      </c>
      <c r="D155" s="56" t="s">
        <v>88</v>
      </c>
      <c r="E155" s="277" t="s">
        <v>204</v>
      </c>
      <c r="F155" s="277" t="s">
        <v>94</v>
      </c>
      <c r="G155" s="287" t="s">
        <v>215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271"/>
      <c r="B156" s="71">
        <f>517502</f>
        <v>517502</v>
      </c>
      <c r="C156" s="71">
        <f>517502</f>
        <v>517502</v>
      </c>
      <c r="D156" s="56" t="s">
        <v>89</v>
      </c>
      <c r="E156" s="277"/>
      <c r="F156" s="277"/>
      <c r="G156" s="287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271"/>
      <c r="B157" s="25"/>
      <c r="C157" s="25"/>
      <c r="D157" s="56" t="s">
        <v>90</v>
      </c>
      <c r="E157" s="277"/>
      <c r="F157" s="277"/>
      <c r="G157" s="287"/>
      <c r="H157" s="25"/>
      <c r="I157" s="25"/>
      <c r="J157" s="25"/>
      <c r="K157" s="25"/>
      <c r="L157" s="31"/>
    </row>
    <row r="158" spans="1:12">
      <c r="A158" s="271"/>
      <c r="B158" s="25">
        <f>(B159+B160)/2</f>
        <v>23099081.5</v>
      </c>
      <c r="C158" s="25">
        <f>(C159+C160)/2</f>
        <v>74690847</v>
      </c>
      <c r="D158" s="56" t="s">
        <v>91</v>
      </c>
      <c r="E158" s="277"/>
      <c r="F158" s="277"/>
      <c r="G158" s="287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271"/>
      <c r="B159" s="71">
        <f>67335177-32314063-4027553-11038005</f>
        <v>19955556</v>
      </c>
      <c r="C159" s="71">
        <f>67335177</f>
        <v>67335177</v>
      </c>
      <c r="D159" s="56" t="s">
        <v>92</v>
      </c>
      <c r="E159" s="277"/>
      <c r="F159" s="277"/>
      <c r="G159" s="287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271"/>
      <c r="B160" s="71">
        <f>82046517-49629686-1582605-4591619</f>
        <v>26242607</v>
      </c>
      <c r="C160" s="71">
        <f>82046517</f>
        <v>82046517</v>
      </c>
      <c r="D160" s="56" t="s">
        <v>93</v>
      </c>
      <c r="E160" s="277"/>
      <c r="F160" s="277"/>
      <c r="G160" s="287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271" t="s">
        <v>29</v>
      </c>
      <c r="B161" s="28">
        <f>B162/B163</f>
        <v>0.5350658455514048</v>
      </c>
      <c r="C161" s="28">
        <f>C162/C163</f>
        <v>0.12912495197622714</v>
      </c>
      <c r="D161" s="56" t="s">
        <v>95</v>
      </c>
      <c r="E161" s="277" t="s">
        <v>205</v>
      </c>
      <c r="F161" s="277" t="s">
        <v>98</v>
      </c>
      <c r="G161" s="287" t="s">
        <v>216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271"/>
      <c r="B162" s="71">
        <f>9869808</f>
        <v>9869808</v>
      </c>
      <c r="C162" s="71">
        <f>9869808</f>
        <v>9869808</v>
      </c>
      <c r="D162" s="56" t="s">
        <v>96</v>
      </c>
      <c r="E162" s="277"/>
      <c r="F162" s="277"/>
      <c r="G162" s="287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271"/>
      <c r="B163" s="71">
        <f>76436102-33758250-15597883-8634000</f>
        <v>18445969</v>
      </c>
      <c r="C163" s="71">
        <f>76436102</f>
        <v>76436102</v>
      </c>
      <c r="D163" s="56" t="s">
        <v>97</v>
      </c>
      <c r="E163" s="277"/>
      <c r="F163" s="277"/>
      <c r="G163" s="287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271" t="s">
        <v>31</v>
      </c>
      <c r="B164" s="29">
        <f>B165/(B166-B167)</f>
        <v>0.78676026691777556</v>
      </c>
      <c r="C164" s="28">
        <f>5610415/(C166-C167)</f>
        <v>8.3379645739997954E-2</v>
      </c>
      <c r="D164" s="56" t="s">
        <v>99</v>
      </c>
      <c r="E164" s="277" t="s">
        <v>206</v>
      </c>
      <c r="F164" s="277" t="s">
        <v>103</v>
      </c>
      <c r="G164" s="287" t="s">
        <v>221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271"/>
      <c r="B165" s="71">
        <f>5610415</f>
        <v>5610415</v>
      </c>
      <c r="C165" s="71">
        <f>5610415</f>
        <v>5610415</v>
      </c>
      <c r="D165" s="56" t="s">
        <v>100</v>
      </c>
      <c r="E165" s="277"/>
      <c r="F165" s="277"/>
      <c r="G165" s="287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271"/>
      <c r="B166" s="71">
        <f>76436102-33758250-15597883-10800417</f>
        <v>16279552</v>
      </c>
      <c r="C166" s="71">
        <f>76436102</f>
        <v>76436102</v>
      </c>
      <c r="D166" s="56" t="s">
        <v>101</v>
      </c>
      <c r="E166" s="277"/>
      <c r="F166" s="277"/>
      <c r="G166" s="287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271"/>
      <c r="B167" s="71">
        <v>9148517</v>
      </c>
      <c r="C167" s="71">
        <v>9148517</v>
      </c>
      <c r="D167" s="56" t="s">
        <v>102</v>
      </c>
      <c r="E167" s="277"/>
      <c r="F167" s="277"/>
      <c r="G167" s="287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271" t="s">
        <v>33</v>
      </c>
      <c r="B168" s="29">
        <f>B170/(B169/B171)</f>
        <v>10.410612570309821</v>
      </c>
      <c r="C168" s="29">
        <f>C170/(C169/C171)</f>
        <v>59.932215224500119</v>
      </c>
      <c r="D168" s="56" t="s">
        <v>104</v>
      </c>
      <c r="E168" s="277" t="s">
        <v>207</v>
      </c>
      <c r="F168" s="277" t="s">
        <v>108</v>
      </c>
      <c r="G168" s="287" t="s">
        <v>216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271"/>
      <c r="B169" s="71">
        <v>62516693</v>
      </c>
      <c r="C169" s="71">
        <v>62516693</v>
      </c>
      <c r="D169" s="56" t="s">
        <v>105</v>
      </c>
      <c r="E169" s="277"/>
      <c r="F169" s="277"/>
      <c r="G169" s="287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271"/>
      <c r="B170" s="71">
        <v>90</v>
      </c>
      <c r="C170" s="71">
        <v>90</v>
      </c>
      <c r="D170" s="56" t="s">
        <v>106</v>
      </c>
      <c r="E170" s="277"/>
      <c r="F170" s="277"/>
      <c r="G170" s="287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271"/>
      <c r="B171" s="71">
        <f>47953656-33758250-15597883--8634000</f>
        <v>7231523</v>
      </c>
      <c r="C171" s="71">
        <f>(34962041+48299379)/2</f>
        <v>41630710</v>
      </c>
      <c r="D171" s="56" t="s">
        <v>107</v>
      </c>
      <c r="E171" s="277"/>
      <c r="F171" s="277"/>
      <c r="G171" s="287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271" t="s">
        <v>35</v>
      </c>
      <c r="B172" s="29">
        <f>B174/(B173/B175)</f>
        <v>1.462351343504366</v>
      </c>
      <c r="C172" s="29">
        <f>C174/(C173/C175)</f>
        <v>10.350855570687337</v>
      </c>
      <c r="D172" s="56" t="s">
        <v>109</v>
      </c>
      <c r="E172" s="277" t="s">
        <v>208</v>
      </c>
      <c r="F172" s="277" t="s">
        <v>113</v>
      </c>
      <c r="G172" s="287" t="s">
        <v>217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4">
        <f>K174/(K173/K175)</f>
        <v>7.7631416780155016</v>
      </c>
      <c r="L172" s="84">
        <f>L174/(L173/L175)</f>
        <v>15.655175318005961</v>
      </c>
    </row>
    <row r="173" spans="1:12" ht="51.75">
      <c r="A173" s="271"/>
      <c r="B173" s="71">
        <v>62516693</v>
      </c>
      <c r="C173" s="71">
        <v>62516693</v>
      </c>
      <c r="D173" s="56" t="s">
        <v>110</v>
      </c>
      <c r="E173" s="277"/>
      <c r="F173" s="277"/>
      <c r="G173" s="287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271"/>
      <c r="B174" s="71">
        <v>90</v>
      </c>
      <c r="C174" s="71">
        <v>90</v>
      </c>
      <c r="D174" s="56" t="s">
        <v>111</v>
      </c>
      <c r="E174" s="277"/>
      <c r="F174" s="277"/>
      <c r="G174" s="287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271"/>
      <c r="B175" s="71">
        <f>7190014-1582602-4591619</f>
        <v>1015793</v>
      </c>
      <c r="C175" s="71">
        <f>7190014</f>
        <v>7190014</v>
      </c>
      <c r="D175" s="56" t="s">
        <v>112</v>
      </c>
      <c r="E175" s="277"/>
      <c r="F175" s="277"/>
      <c r="G175" s="287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271" t="s">
        <v>249</v>
      </c>
      <c r="B176" s="28">
        <f>B177/(B178-B179)</f>
        <v>1.3240730034044115</v>
      </c>
      <c r="C176" s="28">
        <f>C177/(C178-C179)</f>
        <v>1.0171406062500237</v>
      </c>
      <c r="D176" s="56" t="s">
        <v>114</v>
      </c>
      <c r="E176" s="277" t="s">
        <v>209</v>
      </c>
      <c r="F176" s="277" t="s">
        <v>116</v>
      </c>
      <c r="G176" s="287" t="s">
        <v>218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4">
        <f>L177/(L178-L179)</f>
        <v>0.99083869636845123</v>
      </c>
    </row>
    <row r="177" spans="1:12" ht="39">
      <c r="A177" s="271"/>
      <c r="B177" s="71">
        <f>68440935</f>
        <v>68440935</v>
      </c>
      <c r="C177" s="71">
        <f>68440935</f>
        <v>68440935</v>
      </c>
      <c r="D177" s="56" t="s">
        <v>115</v>
      </c>
      <c r="E177" s="277"/>
      <c r="F177" s="277"/>
      <c r="G177" s="287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271"/>
      <c r="B178" s="71">
        <f>76436102-15597886</f>
        <v>60838216</v>
      </c>
      <c r="C178" s="71">
        <f>76436102</f>
        <v>76436102</v>
      </c>
      <c r="D178" s="56" t="s">
        <v>101</v>
      </c>
      <c r="E178" s="277"/>
      <c r="F178" s="277"/>
      <c r="G178" s="287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271"/>
      <c r="B179" s="71">
        <v>9148517</v>
      </c>
      <c r="C179" s="71">
        <v>9148517</v>
      </c>
      <c r="D179" s="56" t="s">
        <v>102</v>
      </c>
      <c r="E179" s="277"/>
      <c r="F179" s="277"/>
      <c r="G179" s="287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271" t="s">
        <v>117</v>
      </c>
      <c r="B180" s="28">
        <f>B181/B183</f>
        <v>0.29976457435512555</v>
      </c>
      <c r="C180" s="28">
        <f>C181/C183</f>
        <v>0.29976457435512555</v>
      </c>
      <c r="D180" s="56" t="s">
        <v>118</v>
      </c>
      <c r="E180" s="277" t="s">
        <v>210</v>
      </c>
      <c r="F180" s="277" t="s">
        <v>211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271"/>
      <c r="B181" s="71">
        <v>38.799999999999997</v>
      </c>
      <c r="C181" s="71">
        <v>38.799999999999997</v>
      </c>
      <c r="D181" s="56" t="s">
        <v>119</v>
      </c>
      <c r="E181" s="277"/>
      <c r="F181" s="277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271"/>
      <c r="B182" s="71"/>
      <c r="C182" s="71"/>
      <c r="D182" s="56" t="s">
        <v>120</v>
      </c>
      <c r="E182" s="277"/>
      <c r="F182" s="277"/>
      <c r="H182" s="71"/>
      <c r="I182" s="71"/>
      <c r="J182" s="71"/>
      <c r="K182" s="71"/>
      <c r="L182" s="31"/>
    </row>
    <row r="183" spans="1:12" ht="20.25" customHeight="1">
      <c r="A183" s="271"/>
      <c r="B183" s="29">
        <f>(B184-B185)/B186</f>
        <v>129.43490765534673</v>
      </c>
      <c r="C183" s="24">
        <f>(C184-C185)/C186</f>
        <v>129.43490765534673</v>
      </c>
      <c r="D183" s="56" t="s">
        <v>121</v>
      </c>
      <c r="E183" s="277"/>
      <c r="F183" s="277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271"/>
      <c r="B184" s="71">
        <v>331125000</v>
      </c>
      <c r="C184" s="71">
        <v>331125000</v>
      </c>
      <c r="D184" s="71" t="s">
        <v>219</v>
      </c>
      <c r="E184" s="277"/>
      <c r="F184" s="277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271"/>
      <c r="B185" s="25">
        <v>111273.60000000001</v>
      </c>
      <c r="C185" s="25">
        <v>111273.60000000001</v>
      </c>
      <c r="D185" s="56" t="s">
        <v>122</v>
      </c>
      <c r="E185" s="277"/>
      <c r="F185" s="277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271"/>
      <c r="B186" s="71">
        <v>2557376</v>
      </c>
      <c r="C186" s="71">
        <v>2557376</v>
      </c>
      <c r="D186" s="56" t="s">
        <v>123</v>
      </c>
      <c r="E186" s="277"/>
      <c r="F186" s="277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41</v>
      </c>
      <c r="B187" s="71"/>
      <c r="C187" s="71"/>
      <c r="D187" s="71" t="s">
        <v>124</v>
      </c>
      <c r="E187" s="71" t="s">
        <v>125</v>
      </c>
      <c r="F187" s="71" t="s">
        <v>126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0"/>
      <c r="C188" s="110"/>
      <c r="D188" s="55"/>
      <c r="E188" s="55"/>
      <c r="F188" s="55"/>
    </row>
    <row r="189" spans="1:12" ht="15.75">
      <c r="A189" s="4"/>
      <c r="B189" s="110"/>
      <c r="C189" s="110"/>
      <c r="D189" s="55"/>
      <c r="E189" s="55"/>
      <c r="F189" s="55"/>
    </row>
    <row r="190" spans="1:12" ht="15.75">
      <c r="A190" s="286" t="s">
        <v>220</v>
      </c>
      <c r="B190" s="286"/>
      <c r="C190" s="286"/>
      <c r="D190" s="286"/>
      <c r="E190" s="286"/>
      <c r="F190" s="286"/>
    </row>
    <row r="191" spans="1:12" ht="15.75">
      <c r="A191" s="4"/>
      <c r="B191" s="110"/>
      <c r="C191" s="110"/>
      <c r="D191" s="55"/>
      <c r="E191" s="55"/>
      <c r="F191" s="55"/>
    </row>
    <row r="192" spans="1:12" ht="15.75">
      <c r="A192" s="4"/>
      <c r="B192" s="110"/>
      <c r="C192" s="110"/>
      <c r="D192" s="55"/>
      <c r="E192" s="55"/>
      <c r="F192" s="55"/>
    </row>
    <row r="193" spans="1:6" ht="15.75">
      <c r="A193" s="4"/>
      <c r="B193" s="110"/>
      <c r="C193" s="110"/>
      <c r="D193" s="55"/>
      <c r="E193" s="55"/>
      <c r="F193" s="55"/>
    </row>
    <row r="194" spans="1:6" ht="15.75">
      <c r="A194" s="4"/>
      <c r="B194" s="110"/>
      <c r="C194" s="110"/>
      <c r="D194" s="55"/>
      <c r="E194" s="55"/>
      <c r="F194" s="55"/>
    </row>
  </sheetData>
  <mergeCells count="150"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42"/>
  <sheetViews>
    <sheetView workbookViewId="0">
      <selection activeCell="H8" sqref="H8:H21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258" t="s">
        <v>43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>
      <c r="A2" s="258" t="s">
        <v>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18.75">
      <c r="A3" s="304" t="s">
        <v>243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15" ht="19.5" thickBot="1">
      <c r="A4" s="305" t="s">
        <v>189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ht="40.5" customHeight="1" thickBot="1">
      <c r="A5" s="308" t="s">
        <v>237</v>
      </c>
      <c r="B5" s="248" t="s">
        <v>8</v>
      </c>
      <c r="C5" s="250" t="s">
        <v>185</v>
      </c>
      <c r="D5" s="253" t="s">
        <v>230</v>
      </c>
      <c r="E5" s="254"/>
      <c r="F5" s="255"/>
      <c r="G5" s="256" t="s">
        <v>292</v>
      </c>
      <c r="H5" s="260" t="s">
        <v>297</v>
      </c>
      <c r="I5" s="254"/>
      <c r="J5" s="254"/>
      <c r="K5" s="261"/>
      <c r="L5" s="310" t="s">
        <v>224</v>
      </c>
      <c r="M5" s="250" t="s">
        <v>186</v>
      </c>
      <c r="N5" s="248" t="s">
        <v>187</v>
      </c>
      <c r="O5" s="310" t="s">
        <v>9</v>
      </c>
    </row>
    <row r="6" spans="1:15" ht="39" customHeight="1" thickBot="1">
      <c r="A6" s="309"/>
      <c r="B6" s="249"/>
      <c r="C6" s="251"/>
      <c r="D6" s="160" t="s">
        <v>289</v>
      </c>
      <c r="E6" s="161" t="s">
        <v>290</v>
      </c>
      <c r="F6" s="162" t="s">
        <v>291</v>
      </c>
      <c r="G6" s="257"/>
      <c r="H6" s="163" t="s">
        <v>293</v>
      </c>
      <c r="I6" s="161" t="s">
        <v>294</v>
      </c>
      <c r="J6" s="161" t="s">
        <v>295</v>
      </c>
      <c r="K6" s="164" t="s">
        <v>296</v>
      </c>
      <c r="L6" s="311"/>
      <c r="M6" s="251"/>
      <c r="N6" s="249"/>
      <c r="O6" s="311"/>
    </row>
    <row r="7" spans="1:15" ht="18" customHeight="1" thickBot="1">
      <c r="A7" s="104"/>
      <c r="B7" s="165" t="s">
        <v>10</v>
      </c>
      <c r="C7" s="238" t="s">
        <v>11</v>
      </c>
      <c r="D7" s="167"/>
      <c r="E7" s="167"/>
      <c r="F7" s="168"/>
      <c r="G7" s="169"/>
      <c r="H7" s="170"/>
      <c r="I7" s="167"/>
      <c r="J7" s="167"/>
      <c r="K7" s="171"/>
      <c r="L7" s="165" t="s">
        <v>12</v>
      </c>
      <c r="M7" s="236" t="s">
        <v>13</v>
      </c>
      <c r="N7" s="104" t="s">
        <v>14</v>
      </c>
      <c r="O7" s="165" t="s">
        <v>15</v>
      </c>
    </row>
    <row r="8" spans="1:15" ht="17.25" customHeight="1">
      <c r="A8" s="172" t="s">
        <v>16</v>
      </c>
      <c r="B8" s="173" t="s">
        <v>44</v>
      </c>
      <c r="C8" s="67">
        <v>20</v>
      </c>
      <c r="D8" s="67">
        <v>0.56000000000000005</v>
      </c>
      <c r="E8" s="67">
        <v>0.55000000000000004</v>
      </c>
      <c r="F8" s="67">
        <v>0.56999999999999995</v>
      </c>
      <c r="G8" s="148">
        <v>0.67</v>
      </c>
      <c r="H8" s="67">
        <v>0.56000000000000005</v>
      </c>
      <c r="I8" s="67">
        <v>0.55000000000000004</v>
      </c>
      <c r="J8" s="67">
        <v>0.56999999999999995</v>
      </c>
      <c r="K8" s="148">
        <v>0.67</v>
      </c>
      <c r="L8" s="382">
        <f>(H8+I8+J8+K8)/4</f>
        <v>0.58750000000000002</v>
      </c>
      <c r="M8" s="174"/>
      <c r="N8" s="175"/>
      <c r="O8" s="176"/>
    </row>
    <row r="9" spans="1:15" ht="17.25" customHeight="1">
      <c r="A9" s="177" t="s">
        <v>18</v>
      </c>
      <c r="B9" s="178" t="s">
        <v>45</v>
      </c>
      <c r="C9" s="179">
        <v>15</v>
      </c>
      <c r="D9" s="179">
        <v>0.12</v>
      </c>
      <c r="E9" s="179">
        <v>0.01</v>
      </c>
      <c r="F9" s="179">
        <v>0.01</v>
      </c>
      <c r="G9" s="149">
        <v>0.04</v>
      </c>
      <c r="H9" s="179">
        <v>0.12</v>
      </c>
      <c r="I9" s="179">
        <v>0.01</v>
      </c>
      <c r="J9" s="179">
        <v>0.01</v>
      </c>
      <c r="K9" s="179">
        <v>0.01</v>
      </c>
      <c r="L9" s="382">
        <f t="shared" ref="L9:L20" si="0">(H9+I9+J9+K9)/4</f>
        <v>3.7500000000000006E-2</v>
      </c>
      <c r="M9" s="58"/>
      <c r="N9" s="39"/>
      <c r="O9" s="76"/>
    </row>
    <row r="10" spans="1:15" ht="17.25" customHeight="1">
      <c r="A10" s="177" t="s">
        <v>20</v>
      </c>
      <c r="B10" s="178" t="s">
        <v>46</v>
      </c>
      <c r="C10" s="179">
        <v>15</v>
      </c>
      <c r="D10" s="179">
        <v>75572</v>
      </c>
      <c r="E10" s="179">
        <v>162789</v>
      </c>
      <c r="F10" s="179">
        <v>321617</v>
      </c>
      <c r="G10" s="149">
        <v>155805</v>
      </c>
      <c r="H10" s="179">
        <v>75572</v>
      </c>
      <c r="I10" s="179">
        <v>162789</v>
      </c>
      <c r="J10" s="179">
        <v>321617</v>
      </c>
      <c r="K10" s="179">
        <v>381500</v>
      </c>
      <c r="L10" s="383">
        <f t="shared" si="0"/>
        <v>235369.5</v>
      </c>
      <c r="M10" s="58"/>
      <c r="N10" s="39"/>
      <c r="O10" s="76"/>
    </row>
    <row r="11" spans="1:15" ht="17.25" customHeight="1">
      <c r="A11" s="177" t="s">
        <v>22</v>
      </c>
      <c r="B11" s="178" t="s">
        <v>47</v>
      </c>
      <c r="C11" s="179">
        <v>15</v>
      </c>
      <c r="D11" s="179">
        <v>2.2000000000000002</v>
      </c>
      <c r="E11" s="179">
        <v>4.3</v>
      </c>
      <c r="F11" s="179">
        <v>8.6999999999999993</v>
      </c>
      <c r="G11" s="149">
        <v>7.3</v>
      </c>
      <c r="H11" s="179">
        <v>2.2000000000000002</v>
      </c>
      <c r="I11" s="179">
        <v>4.3</v>
      </c>
      <c r="J11" s="179">
        <v>8.6999999999999993</v>
      </c>
      <c r="K11" s="149">
        <v>9.8000000000000007</v>
      </c>
      <c r="L11" s="382">
        <f t="shared" si="0"/>
        <v>6.25</v>
      </c>
      <c r="M11" s="58"/>
      <c r="N11" s="39"/>
      <c r="O11" s="76"/>
    </row>
    <row r="12" spans="1:15" ht="27.75" customHeight="1">
      <c r="A12" s="177" t="s">
        <v>24</v>
      </c>
      <c r="B12" s="178" t="s">
        <v>48</v>
      </c>
      <c r="C12" s="179">
        <v>15</v>
      </c>
      <c r="D12" s="180">
        <v>0.86</v>
      </c>
      <c r="E12" s="180">
        <v>0.86</v>
      </c>
      <c r="F12" s="180">
        <v>0.96</v>
      </c>
      <c r="G12" s="150">
        <v>0.7</v>
      </c>
      <c r="H12" s="180">
        <v>0.86</v>
      </c>
      <c r="I12" s="180">
        <v>0.86</v>
      </c>
      <c r="J12" s="180">
        <v>0.86</v>
      </c>
      <c r="K12" s="180">
        <v>0.86</v>
      </c>
      <c r="L12" s="382">
        <f t="shared" si="0"/>
        <v>0.86</v>
      </c>
      <c r="M12" s="58"/>
      <c r="N12" s="39"/>
      <c r="O12" s="76"/>
    </row>
    <row r="13" spans="1:15" ht="27.75" customHeight="1">
      <c r="A13" s="177" t="s">
        <v>26</v>
      </c>
      <c r="B13" s="178" t="s">
        <v>49</v>
      </c>
      <c r="C13" s="179">
        <v>5</v>
      </c>
      <c r="D13" s="179">
        <v>0.03</v>
      </c>
      <c r="E13" s="179">
        <v>0.03</v>
      </c>
      <c r="F13" s="179">
        <v>0.03</v>
      </c>
      <c r="G13" s="149">
        <v>0.04</v>
      </c>
      <c r="H13" s="179">
        <v>0.03</v>
      </c>
      <c r="I13" s="179">
        <v>0.03</v>
      </c>
      <c r="J13" s="179">
        <v>0.03</v>
      </c>
      <c r="K13" s="149">
        <v>0.03</v>
      </c>
      <c r="L13" s="382">
        <f t="shared" si="0"/>
        <v>0.03</v>
      </c>
      <c r="M13" s="58"/>
      <c r="N13" s="39"/>
      <c r="O13" s="76"/>
    </row>
    <row r="14" spans="1:15" ht="27.75" customHeight="1">
      <c r="A14" s="177" t="s">
        <v>28</v>
      </c>
      <c r="B14" s="178" t="s">
        <v>50</v>
      </c>
      <c r="C14" s="179">
        <v>0</v>
      </c>
      <c r="D14" s="179">
        <v>0</v>
      </c>
      <c r="E14" s="179">
        <v>0</v>
      </c>
      <c r="F14" s="179">
        <v>0</v>
      </c>
      <c r="G14" s="149">
        <v>0</v>
      </c>
      <c r="H14" s="179">
        <v>0</v>
      </c>
      <c r="I14" s="179">
        <v>0</v>
      </c>
      <c r="J14" s="179">
        <v>0</v>
      </c>
      <c r="K14" s="149">
        <v>0</v>
      </c>
      <c r="L14" s="382">
        <f t="shared" si="0"/>
        <v>0</v>
      </c>
      <c r="M14" s="58"/>
      <c r="N14" s="39"/>
      <c r="O14" s="76"/>
    </row>
    <row r="15" spans="1:15" ht="27.75" customHeight="1">
      <c r="A15" s="177" t="s">
        <v>30</v>
      </c>
      <c r="B15" s="178" t="s">
        <v>51</v>
      </c>
      <c r="C15" s="179">
        <v>0</v>
      </c>
      <c r="D15" s="179">
        <v>0</v>
      </c>
      <c r="E15" s="179">
        <v>0</v>
      </c>
      <c r="F15" s="179">
        <v>0</v>
      </c>
      <c r="G15" s="149">
        <v>0</v>
      </c>
      <c r="H15" s="179">
        <v>0</v>
      </c>
      <c r="I15" s="179">
        <v>0</v>
      </c>
      <c r="J15" s="179">
        <v>0</v>
      </c>
      <c r="K15" s="149">
        <v>0</v>
      </c>
      <c r="L15" s="382">
        <f t="shared" si="0"/>
        <v>0</v>
      </c>
      <c r="M15" s="58"/>
      <c r="N15" s="39"/>
      <c r="O15" s="76"/>
    </row>
    <row r="16" spans="1:15" ht="27.75" customHeight="1">
      <c r="A16" s="177" t="s">
        <v>32</v>
      </c>
      <c r="B16" s="178" t="s">
        <v>52</v>
      </c>
      <c r="C16" s="179">
        <v>10</v>
      </c>
      <c r="D16" s="181">
        <v>8.4</v>
      </c>
      <c r="E16" s="179">
        <v>25.8</v>
      </c>
      <c r="F16" s="181">
        <v>34</v>
      </c>
      <c r="G16" s="149">
        <v>19.8</v>
      </c>
      <c r="H16" s="181">
        <v>8.4</v>
      </c>
      <c r="I16" s="179">
        <v>25.8</v>
      </c>
      <c r="J16" s="181">
        <v>34</v>
      </c>
      <c r="K16" s="149">
        <v>40</v>
      </c>
      <c r="L16" s="382">
        <f t="shared" si="0"/>
        <v>27.05</v>
      </c>
      <c r="M16" s="58"/>
      <c r="N16" s="39"/>
      <c r="O16" s="76"/>
    </row>
    <row r="17" spans="1:15" ht="17.25" customHeight="1">
      <c r="A17" s="177" t="s">
        <v>34</v>
      </c>
      <c r="B17" s="178" t="s">
        <v>53</v>
      </c>
      <c r="C17" s="179">
        <v>5</v>
      </c>
      <c r="D17" s="179">
        <v>1.0900000000000001</v>
      </c>
      <c r="E17" s="179">
        <v>1.0900000000000001</v>
      </c>
      <c r="F17" s="179">
        <v>1.0900000000000001</v>
      </c>
      <c r="G17" s="149">
        <v>1.05</v>
      </c>
      <c r="H17" s="179">
        <v>1.0900000000000001</v>
      </c>
      <c r="I17" s="179">
        <v>1.0900000000000001</v>
      </c>
      <c r="J17" s="179">
        <v>1.0900000000000001</v>
      </c>
      <c r="K17" s="149">
        <v>1.0900000000000001</v>
      </c>
      <c r="L17" s="382">
        <f t="shared" si="0"/>
        <v>1.0900000000000001</v>
      </c>
      <c r="M17" s="58"/>
      <c r="N17" s="39"/>
      <c r="O17" s="76"/>
    </row>
    <row r="18" spans="1:15" ht="29.25" customHeight="1">
      <c r="A18" s="177" t="s">
        <v>36</v>
      </c>
      <c r="B18" s="178" t="s">
        <v>54</v>
      </c>
      <c r="C18" s="179">
        <v>0</v>
      </c>
      <c r="D18" s="179"/>
      <c r="E18" s="179"/>
      <c r="F18" s="179"/>
      <c r="G18" s="149"/>
      <c r="H18" s="179"/>
      <c r="I18" s="179"/>
      <c r="J18" s="179"/>
      <c r="K18" s="149"/>
      <c r="L18" s="382">
        <f t="shared" si="0"/>
        <v>0</v>
      </c>
      <c r="M18" s="58"/>
      <c r="N18" s="39"/>
      <c r="O18" s="76"/>
    </row>
    <row r="19" spans="1:15" ht="29.25" customHeight="1">
      <c r="A19" s="177" t="s">
        <v>38</v>
      </c>
      <c r="B19" s="178" t="s">
        <v>55</v>
      </c>
      <c r="C19" s="179">
        <v>0</v>
      </c>
      <c r="D19" s="179"/>
      <c r="E19" s="179"/>
      <c r="F19" s="179"/>
      <c r="G19" s="149"/>
      <c r="H19" s="179"/>
      <c r="I19" s="179"/>
      <c r="J19" s="179"/>
      <c r="K19" s="149"/>
      <c r="L19" s="382">
        <f t="shared" si="0"/>
        <v>0</v>
      </c>
      <c r="M19" s="58"/>
      <c r="N19" s="39"/>
      <c r="O19" s="76"/>
    </row>
    <row r="20" spans="1:15" ht="29.25" customHeight="1" thickBot="1">
      <c r="A20" s="182" t="s">
        <v>40</v>
      </c>
      <c r="B20" s="183" t="s">
        <v>56</v>
      </c>
      <c r="C20" s="184">
        <v>0</v>
      </c>
      <c r="D20" s="184">
        <v>0</v>
      </c>
      <c r="E20" s="184">
        <v>0</v>
      </c>
      <c r="F20" s="184">
        <v>0</v>
      </c>
      <c r="G20" s="185">
        <v>0</v>
      </c>
      <c r="H20" s="184">
        <v>0</v>
      </c>
      <c r="I20" s="184">
        <v>0</v>
      </c>
      <c r="J20" s="184">
        <v>0</v>
      </c>
      <c r="K20" s="185">
        <v>0</v>
      </c>
      <c r="L20" s="382">
        <f t="shared" si="0"/>
        <v>0</v>
      </c>
      <c r="M20" s="186"/>
      <c r="N20" s="187"/>
      <c r="O20" s="77"/>
    </row>
    <row r="21" spans="1:15" ht="22.5" customHeight="1" thickBot="1">
      <c r="A21" s="306" t="s">
        <v>57</v>
      </c>
      <c r="B21" s="307"/>
      <c r="C21" s="244">
        <v>100</v>
      </c>
      <c r="D21" s="244"/>
      <c r="E21" s="244"/>
      <c r="F21" s="188"/>
      <c r="G21" s="104"/>
      <c r="H21" s="239"/>
      <c r="I21" s="244"/>
      <c r="J21" s="244"/>
      <c r="K21" s="189"/>
      <c r="L21" s="190"/>
      <c r="M21" s="153"/>
      <c r="N21" s="191"/>
      <c r="O21" s="192"/>
    </row>
    <row r="22" spans="1:15" s="313" customFormat="1">
      <c r="A22" s="314" t="s">
        <v>43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</row>
    <row r="23" spans="1:15" s="313" customFormat="1">
      <c r="A23" s="314" t="s">
        <v>4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</row>
    <row r="24" spans="1:15" s="313" customFormat="1" ht="18.75">
      <c r="A24" s="384" t="s">
        <v>243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s="313" customFormat="1" ht="19.5" thickBot="1">
      <c r="A25" s="385" t="s">
        <v>189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</row>
    <row r="26" spans="1:15" s="313" customFormat="1" ht="40.5" customHeight="1" thickBot="1">
      <c r="A26" s="386" t="s">
        <v>237</v>
      </c>
      <c r="B26" s="318" t="s">
        <v>8</v>
      </c>
      <c r="C26" s="319" t="s">
        <v>185</v>
      </c>
      <c r="D26" s="320" t="s">
        <v>230</v>
      </c>
      <c r="E26" s="321"/>
      <c r="F26" s="322"/>
      <c r="G26" s="323" t="s">
        <v>299</v>
      </c>
      <c r="H26" s="324" t="s">
        <v>287</v>
      </c>
      <c r="I26" s="321"/>
      <c r="J26" s="321"/>
      <c r="K26" s="325"/>
      <c r="L26" s="387" t="s">
        <v>224</v>
      </c>
      <c r="M26" s="319" t="s">
        <v>186</v>
      </c>
      <c r="N26" s="318" t="s">
        <v>187</v>
      </c>
      <c r="O26" s="387" t="s">
        <v>9</v>
      </c>
    </row>
    <row r="27" spans="1:15" s="313" customFormat="1" ht="39" customHeight="1" thickBot="1">
      <c r="A27" s="388"/>
      <c r="B27" s="328"/>
      <c r="C27" s="327"/>
      <c r="D27" s="329" t="s">
        <v>281</v>
      </c>
      <c r="E27" s="330" t="s">
        <v>282</v>
      </c>
      <c r="F27" s="331" t="s">
        <v>283</v>
      </c>
      <c r="G27" s="332"/>
      <c r="H27" s="333" t="s">
        <v>289</v>
      </c>
      <c r="I27" s="330" t="s">
        <v>290</v>
      </c>
      <c r="J27" s="330" t="s">
        <v>291</v>
      </c>
      <c r="K27" s="334" t="s">
        <v>298</v>
      </c>
      <c r="L27" s="389"/>
      <c r="M27" s="327"/>
      <c r="N27" s="328"/>
      <c r="O27" s="389"/>
    </row>
    <row r="28" spans="1:15" s="313" customFormat="1" ht="18" customHeight="1" thickBot="1">
      <c r="A28" s="341"/>
      <c r="B28" s="390" t="s">
        <v>10</v>
      </c>
      <c r="C28" s="391" t="s">
        <v>11</v>
      </c>
      <c r="D28" s="392"/>
      <c r="E28" s="392"/>
      <c r="F28" s="393"/>
      <c r="G28" s="394"/>
      <c r="H28" s="395"/>
      <c r="I28" s="392"/>
      <c r="J28" s="392"/>
      <c r="K28" s="396"/>
      <c r="L28" s="390" t="s">
        <v>12</v>
      </c>
      <c r="M28" s="342" t="s">
        <v>13</v>
      </c>
      <c r="N28" s="341" t="s">
        <v>14</v>
      </c>
      <c r="O28" s="390" t="s">
        <v>15</v>
      </c>
    </row>
    <row r="29" spans="1:15" s="313" customFormat="1" ht="17.25" customHeight="1">
      <c r="A29" s="397" t="s">
        <v>16</v>
      </c>
      <c r="B29" s="398" t="s">
        <v>44</v>
      </c>
      <c r="C29" s="349">
        <v>20</v>
      </c>
      <c r="D29" s="349">
        <v>0.67</v>
      </c>
      <c r="E29" s="349">
        <v>0.71</v>
      </c>
      <c r="F29" s="349">
        <v>0.44</v>
      </c>
      <c r="G29" s="399">
        <v>0.67</v>
      </c>
      <c r="H29" s="349">
        <v>0.61</v>
      </c>
      <c r="I29" s="349">
        <v>0.63</v>
      </c>
      <c r="J29" s="349">
        <v>0.65</v>
      </c>
      <c r="K29" s="399">
        <v>0.67</v>
      </c>
      <c r="L29" s="349">
        <v>0.65</v>
      </c>
      <c r="M29" s="350"/>
      <c r="N29" s="400"/>
      <c r="O29" s="345"/>
    </row>
    <row r="30" spans="1:15" s="313" customFormat="1" ht="17.25" customHeight="1">
      <c r="A30" s="343" t="s">
        <v>18</v>
      </c>
      <c r="B30" s="401" t="s">
        <v>45</v>
      </c>
      <c r="C30" s="357">
        <v>15</v>
      </c>
      <c r="D30" s="357">
        <v>4.0000000000000001E-3</v>
      </c>
      <c r="E30" s="357">
        <v>0.28849999999999998</v>
      </c>
      <c r="F30" s="357">
        <v>2E-3</v>
      </c>
      <c r="G30" s="402">
        <v>0.7</v>
      </c>
      <c r="H30" s="357">
        <v>0.04</v>
      </c>
      <c r="I30" s="357">
        <v>6.0000000000000001E-3</v>
      </c>
      <c r="J30" s="357">
        <v>0.03</v>
      </c>
      <c r="K30" s="403">
        <v>0.04</v>
      </c>
      <c r="L30" s="357">
        <v>3.0000000000000001E-3</v>
      </c>
      <c r="M30" s="358"/>
      <c r="N30" s="355"/>
      <c r="O30" s="353"/>
    </row>
    <row r="31" spans="1:15" s="313" customFormat="1" ht="17.25" customHeight="1">
      <c r="A31" s="343" t="s">
        <v>20</v>
      </c>
      <c r="B31" s="401" t="s">
        <v>46</v>
      </c>
      <c r="C31" s="357">
        <v>15</v>
      </c>
      <c r="D31" s="357">
        <v>158105</v>
      </c>
      <c r="E31" s="357">
        <v>86176</v>
      </c>
      <c r="F31" s="357">
        <v>136544</v>
      </c>
      <c r="G31" s="403">
        <v>155805</v>
      </c>
      <c r="H31" s="357">
        <v>33073</v>
      </c>
      <c r="I31" s="357">
        <v>72544</v>
      </c>
      <c r="J31" s="357">
        <v>116854</v>
      </c>
      <c r="K31" s="403">
        <v>155805</v>
      </c>
      <c r="L31" s="357">
        <v>124041</v>
      </c>
      <c r="M31" s="358"/>
      <c r="N31" s="355"/>
      <c r="O31" s="353"/>
    </row>
    <row r="32" spans="1:15" s="313" customFormat="1" ht="17.25" customHeight="1">
      <c r="A32" s="343" t="s">
        <v>22</v>
      </c>
      <c r="B32" s="401" t="s">
        <v>47</v>
      </c>
      <c r="C32" s="357">
        <v>15</v>
      </c>
      <c r="D32" s="357">
        <v>8</v>
      </c>
      <c r="E32" s="357">
        <v>12.2</v>
      </c>
      <c r="F32" s="357">
        <v>4.8</v>
      </c>
      <c r="G32" s="403">
        <v>7.3</v>
      </c>
      <c r="H32" s="357">
        <v>1.6</v>
      </c>
      <c r="I32" s="357">
        <v>3.4</v>
      </c>
      <c r="J32" s="357">
        <v>5.5</v>
      </c>
      <c r="K32" s="403">
        <v>7.3</v>
      </c>
      <c r="L32" s="357">
        <v>5.5</v>
      </c>
      <c r="M32" s="358"/>
      <c r="N32" s="355"/>
      <c r="O32" s="353"/>
    </row>
    <row r="33" spans="1:15" s="313" customFormat="1" ht="27.75" customHeight="1">
      <c r="A33" s="343" t="s">
        <v>24</v>
      </c>
      <c r="B33" s="401" t="s">
        <v>48</v>
      </c>
      <c r="C33" s="357">
        <v>15</v>
      </c>
      <c r="D33" s="404">
        <v>0.7</v>
      </c>
      <c r="E33" s="404">
        <v>0.71</v>
      </c>
      <c r="F33" s="404">
        <v>0.86</v>
      </c>
      <c r="G33" s="405">
        <v>0.71</v>
      </c>
      <c r="H33" s="404">
        <v>0.7</v>
      </c>
      <c r="I33" s="404">
        <v>0.7</v>
      </c>
      <c r="J33" s="404">
        <v>0.7</v>
      </c>
      <c r="K33" s="405">
        <v>0.7</v>
      </c>
      <c r="L33" s="357">
        <v>0.7</v>
      </c>
      <c r="M33" s="358"/>
      <c r="N33" s="355"/>
      <c r="O33" s="353"/>
    </row>
    <row r="34" spans="1:15" s="313" customFormat="1" ht="27.75" customHeight="1">
      <c r="A34" s="343" t="s">
        <v>26</v>
      </c>
      <c r="B34" s="401" t="s">
        <v>49</v>
      </c>
      <c r="C34" s="357">
        <v>5</v>
      </c>
      <c r="D34" s="357">
        <v>0.04</v>
      </c>
      <c r="E34" s="357">
        <v>2.9000000000000001E-2</v>
      </c>
      <c r="F34" s="357">
        <v>0.03</v>
      </c>
      <c r="G34" s="403">
        <v>0.04</v>
      </c>
      <c r="H34" s="357">
        <v>0.04</v>
      </c>
      <c r="I34" s="357">
        <v>0.03</v>
      </c>
      <c r="J34" s="357">
        <v>0.03</v>
      </c>
      <c r="K34" s="403">
        <v>0.04</v>
      </c>
      <c r="L34" s="357">
        <v>0.02</v>
      </c>
      <c r="M34" s="358"/>
      <c r="N34" s="355"/>
      <c r="O34" s="353"/>
    </row>
    <row r="35" spans="1:15" s="313" customFormat="1" ht="27.75" customHeight="1">
      <c r="A35" s="343" t="s">
        <v>28</v>
      </c>
      <c r="B35" s="401" t="s">
        <v>50</v>
      </c>
      <c r="C35" s="357">
        <v>0</v>
      </c>
      <c r="D35" s="357">
        <v>0</v>
      </c>
      <c r="E35" s="357">
        <v>0</v>
      </c>
      <c r="F35" s="357">
        <v>0</v>
      </c>
      <c r="G35" s="403">
        <v>0</v>
      </c>
      <c r="H35" s="357">
        <v>0</v>
      </c>
      <c r="I35" s="357">
        <v>0</v>
      </c>
      <c r="J35" s="357">
        <v>0</v>
      </c>
      <c r="K35" s="403">
        <v>0</v>
      </c>
      <c r="L35" s="357">
        <v>0</v>
      </c>
      <c r="M35" s="358"/>
      <c r="N35" s="355"/>
      <c r="O35" s="353"/>
    </row>
    <row r="36" spans="1:15" s="313" customFormat="1" ht="27.75" customHeight="1">
      <c r="A36" s="343" t="s">
        <v>30</v>
      </c>
      <c r="B36" s="401" t="s">
        <v>51</v>
      </c>
      <c r="C36" s="357">
        <v>0</v>
      </c>
      <c r="D36" s="357">
        <v>0</v>
      </c>
      <c r="E36" s="357">
        <v>0</v>
      </c>
      <c r="F36" s="357">
        <v>0</v>
      </c>
      <c r="G36" s="403">
        <v>0</v>
      </c>
      <c r="H36" s="357">
        <v>0</v>
      </c>
      <c r="I36" s="357">
        <v>0</v>
      </c>
      <c r="J36" s="357">
        <v>0</v>
      </c>
      <c r="K36" s="403">
        <v>0</v>
      </c>
      <c r="L36" s="357">
        <v>0</v>
      </c>
      <c r="M36" s="358"/>
      <c r="N36" s="355"/>
      <c r="O36" s="353"/>
    </row>
    <row r="37" spans="1:15" s="313" customFormat="1" ht="27.75" customHeight="1">
      <c r="A37" s="343" t="s">
        <v>32</v>
      </c>
      <c r="B37" s="401" t="s">
        <v>52</v>
      </c>
      <c r="C37" s="357">
        <v>10</v>
      </c>
      <c r="D37" s="406">
        <v>17.8</v>
      </c>
      <c r="E37" s="357">
        <v>11.4</v>
      </c>
      <c r="F37" s="406">
        <v>14</v>
      </c>
      <c r="G37" s="403">
        <v>19.8</v>
      </c>
      <c r="H37" s="406">
        <v>5</v>
      </c>
      <c r="I37" s="357">
        <v>9.9</v>
      </c>
      <c r="J37" s="357">
        <v>14.9</v>
      </c>
      <c r="K37" s="403">
        <v>19.8</v>
      </c>
      <c r="L37" s="357">
        <v>15.8</v>
      </c>
      <c r="M37" s="358"/>
      <c r="N37" s="355"/>
      <c r="O37" s="353"/>
    </row>
    <row r="38" spans="1:15" s="313" customFormat="1" ht="17.25" customHeight="1">
      <c r="A38" s="343" t="s">
        <v>34</v>
      </c>
      <c r="B38" s="401" t="s">
        <v>53</v>
      </c>
      <c r="C38" s="357">
        <v>5</v>
      </c>
      <c r="D38" s="357">
        <v>1.08</v>
      </c>
      <c r="E38" s="357">
        <v>0.78</v>
      </c>
      <c r="F38" s="357">
        <v>0.89</v>
      </c>
      <c r="G38" s="403">
        <v>1.05</v>
      </c>
      <c r="H38" s="357">
        <v>0.94</v>
      </c>
      <c r="I38" s="357">
        <v>0.77</v>
      </c>
      <c r="J38" s="357">
        <v>1.1599999999999999</v>
      </c>
      <c r="K38" s="403">
        <v>1.05</v>
      </c>
      <c r="L38" s="357">
        <v>1.02</v>
      </c>
      <c r="M38" s="358"/>
      <c r="N38" s="355"/>
      <c r="O38" s="353"/>
    </row>
    <row r="39" spans="1:15" s="313" customFormat="1" ht="29.25" customHeight="1">
      <c r="A39" s="343" t="s">
        <v>36</v>
      </c>
      <c r="B39" s="401" t="s">
        <v>54</v>
      </c>
      <c r="C39" s="357">
        <v>0</v>
      </c>
      <c r="D39" s="357"/>
      <c r="E39" s="357"/>
      <c r="F39" s="357"/>
      <c r="G39" s="403"/>
      <c r="H39" s="357"/>
      <c r="I39" s="357"/>
      <c r="J39" s="357"/>
      <c r="K39" s="403"/>
      <c r="L39" s="357">
        <v>0</v>
      </c>
      <c r="M39" s="358"/>
      <c r="N39" s="355"/>
      <c r="O39" s="353"/>
    </row>
    <row r="40" spans="1:15" s="313" customFormat="1" ht="29.25" customHeight="1">
      <c r="A40" s="343" t="s">
        <v>38</v>
      </c>
      <c r="B40" s="401" t="s">
        <v>55</v>
      </c>
      <c r="C40" s="357">
        <v>0</v>
      </c>
      <c r="D40" s="357"/>
      <c r="E40" s="357"/>
      <c r="F40" s="357"/>
      <c r="G40" s="403"/>
      <c r="H40" s="357"/>
      <c r="I40" s="357"/>
      <c r="J40" s="357"/>
      <c r="K40" s="403"/>
      <c r="L40" s="357">
        <v>0</v>
      </c>
      <c r="M40" s="358"/>
      <c r="N40" s="355"/>
      <c r="O40" s="353"/>
    </row>
    <row r="41" spans="1:15" s="313" customFormat="1" ht="29.25" customHeight="1" thickBot="1">
      <c r="A41" s="368" t="s">
        <v>40</v>
      </c>
      <c r="B41" s="407" t="s">
        <v>56</v>
      </c>
      <c r="C41" s="408">
        <v>0</v>
      </c>
      <c r="D41" s="408">
        <v>0</v>
      </c>
      <c r="E41" s="408">
        <v>0</v>
      </c>
      <c r="F41" s="408">
        <v>0</v>
      </c>
      <c r="G41" s="409">
        <v>0</v>
      </c>
      <c r="H41" s="408">
        <v>0</v>
      </c>
      <c r="I41" s="408">
        <v>0</v>
      </c>
      <c r="J41" s="408">
        <v>0</v>
      </c>
      <c r="K41" s="409">
        <v>0</v>
      </c>
      <c r="L41" s="408">
        <v>0</v>
      </c>
      <c r="M41" s="410"/>
      <c r="N41" s="411"/>
      <c r="O41" s="370"/>
    </row>
    <row r="42" spans="1:15" s="313" customFormat="1" ht="22.5" customHeight="1" thickBot="1">
      <c r="A42" s="412" t="s">
        <v>57</v>
      </c>
      <c r="B42" s="413"/>
      <c r="C42" s="414">
        <v>100</v>
      </c>
      <c r="D42" s="414"/>
      <c r="E42" s="414"/>
      <c r="F42" s="415"/>
      <c r="G42" s="341"/>
      <c r="H42" s="416"/>
      <c r="I42" s="414"/>
      <c r="J42" s="414"/>
      <c r="K42" s="417"/>
      <c r="L42" s="418"/>
      <c r="M42" s="419"/>
      <c r="N42" s="420"/>
      <c r="O42" s="421"/>
    </row>
  </sheetData>
  <mergeCells count="30">
    <mergeCell ref="A21:B21"/>
    <mergeCell ref="A1:O1"/>
    <mergeCell ref="A2:O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22:O22"/>
    <mergeCell ref="A23:O23"/>
    <mergeCell ref="A24:O24"/>
    <mergeCell ref="A25:O25"/>
    <mergeCell ref="A42:B42"/>
    <mergeCell ref="C26:C27"/>
    <mergeCell ref="B26:B27"/>
    <mergeCell ref="A26:A27"/>
    <mergeCell ref="N26:N27"/>
    <mergeCell ref="O26:O27"/>
    <mergeCell ref="D26:F26"/>
    <mergeCell ref="G26:G27"/>
    <mergeCell ref="H26:K26"/>
    <mergeCell ref="L26:L27"/>
    <mergeCell ref="M26:M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opLeftCell="A13" workbookViewId="0">
      <selection activeCell="D31" sqref="D31"/>
    </sheetView>
  </sheetViews>
  <sheetFormatPr defaultRowHeight="15"/>
  <cols>
    <col min="1" max="1" width="9.140625" style="57"/>
    <col min="2" max="2" width="58.85546875" style="57" customWidth="1"/>
    <col min="3" max="3" width="10.140625" style="146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16384" width="9.140625" style="57"/>
  </cols>
  <sheetData>
    <row r="1" spans="1:7">
      <c r="A1" s="258" t="s">
        <v>43</v>
      </c>
      <c r="B1" s="258"/>
      <c r="C1" s="258"/>
      <c r="D1" s="258"/>
      <c r="E1" s="258"/>
      <c r="F1" s="258"/>
      <c r="G1" s="258"/>
    </row>
    <row r="2" spans="1:7">
      <c r="A2" s="258" t="s">
        <v>4</v>
      </c>
      <c r="B2" s="258"/>
      <c r="C2" s="258"/>
      <c r="D2" s="258"/>
      <c r="E2" s="258"/>
      <c r="F2" s="258"/>
      <c r="G2" s="258"/>
    </row>
    <row r="3" spans="1:7" ht="18.75">
      <c r="A3" s="304" t="s">
        <v>5</v>
      </c>
      <c r="B3" s="304"/>
      <c r="C3" s="304"/>
      <c r="D3" s="304"/>
      <c r="E3" s="304"/>
      <c r="F3" s="304"/>
      <c r="G3" s="304"/>
    </row>
    <row r="4" spans="1:7" ht="18.75">
      <c r="A4" s="304" t="s">
        <v>301</v>
      </c>
      <c r="B4" s="304"/>
      <c r="C4" s="304"/>
      <c r="D4" s="304"/>
      <c r="E4" s="304"/>
      <c r="F4" s="304"/>
      <c r="G4" s="304"/>
    </row>
    <row r="5" spans="1:7" ht="38.25">
      <c r="A5" s="210" t="s">
        <v>7</v>
      </c>
      <c r="B5" s="210" t="s">
        <v>8</v>
      </c>
      <c r="C5" s="210" t="s">
        <v>185</v>
      </c>
      <c r="D5" s="210" t="s">
        <v>224</v>
      </c>
      <c r="E5" s="210" t="s">
        <v>186</v>
      </c>
      <c r="F5" s="210" t="s">
        <v>187</v>
      </c>
      <c r="G5" s="210" t="s">
        <v>9</v>
      </c>
    </row>
    <row r="6" spans="1:7">
      <c r="A6" s="210"/>
      <c r="B6" s="210" t="s">
        <v>10</v>
      </c>
      <c r="C6" s="210" t="s">
        <v>11</v>
      </c>
      <c r="D6" s="210" t="s">
        <v>12</v>
      </c>
      <c r="E6" s="210" t="s">
        <v>13</v>
      </c>
      <c r="F6" s="210" t="s">
        <v>14</v>
      </c>
      <c r="G6" s="210" t="s">
        <v>15</v>
      </c>
    </row>
    <row r="7" spans="1:7" ht="16.5" customHeight="1">
      <c r="A7" s="211" t="s">
        <v>16</v>
      </c>
      <c r="B7" s="38" t="s">
        <v>44</v>
      </c>
      <c r="C7" s="58">
        <v>20</v>
      </c>
      <c r="D7" s="148">
        <v>0.56000000000000005</v>
      </c>
      <c r="E7" s="53">
        <f>'При №3 б'!O7</f>
        <v>0.53224461354458452</v>
      </c>
      <c r="F7" s="59">
        <f>D7/E7*100</f>
        <v>105.21478014978362</v>
      </c>
      <c r="G7" s="59">
        <f>F7*C7/100</f>
        <v>21.042956029956724</v>
      </c>
    </row>
    <row r="8" spans="1:7" ht="16.5" customHeight="1">
      <c r="A8" s="211" t="s">
        <v>18</v>
      </c>
      <c r="B8" s="38" t="s">
        <v>45</v>
      </c>
      <c r="C8" s="58">
        <v>15</v>
      </c>
      <c r="D8" s="149">
        <v>0.12</v>
      </c>
      <c r="E8" s="63">
        <f>'При №3 б'!O10</f>
        <v>0</v>
      </c>
      <c r="F8" s="59">
        <f t="shared" ref="F8:F11" si="0">E8/D8*100</f>
        <v>0</v>
      </c>
      <c r="G8" s="59">
        <f t="shared" ref="G8:G19" si="1">F8*C8/100</f>
        <v>0</v>
      </c>
    </row>
    <row r="9" spans="1:7" ht="16.5" customHeight="1">
      <c r="A9" s="211" t="s">
        <v>20</v>
      </c>
      <c r="B9" s="38" t="s">
        <v>46</v>
      </c>
      <c r="C9" s="58">
        <v>15</v>
      </c>
      <c r="D9" s="149">
        <v>75572</v>
      </c>
      <c r="E9" s="59">
        <f>'При №3 б'!O13</f>
        <v>185243.11014492754</v>
      </c>
      <c r="F9" s="59">
        <f t="shared" si="0"/>
        <v>245.12135466168363</v>
      </c>
      <c r="G9" s="59">
        <f t="shared" si="1"/>
        <v>36.768203199252547</v>
      </c>
    </row>
    <row r="10" spans="1:7" ht="16.5" customHeight="1">
      <c r="A10" s="211" t="s">
        <v>22</v>
      </c>
      <c r="B10" s="38" t="s">
        <v>47</v>
      </c>
      <c r="C10" s="58">
        <v>15</v>
      </c>
      <c r="D10" s="149">
        <v>2.2000000000000002</v>
      </c>
      <c r="E10" s="61">
        <f>'При №3 б'!O16</f>
        <v>2.6188971699614534</v>
      </c>
      <c r="F10" s="59">
        <f t="shared" si="0"/>
        <v>119.04078045279331</v>
      </c>
      <c r="G10" s="59">
        <f t="shared" si="1"/>
        <v>17.856117067918998</v>
      </c>
    </row>
    <row r="11" spans="1:7" ht="16.5" customHeight="1">
      <c r="A11" s="211" t="s">
        <v>24</v>
      </c>
      <c r="B11" s="38" t="s">
        <v>48</v>
      </c>
      <c r="C11" s="58">
        <v>15</v>
      </c>
      <c r="D11" s="150">
        <v>0.86</v>
      </c>
      <c r="E11" s="53">
        <f>'При №3 б'!O21</f>
        <v>0.88200000000000001</v>
      </c>
      <c r="F11" s="59">
        <f t="shared" si="0"/>
        <v>102.55813953488374</v>
      </c>
      <c r="G11" s="59">
        <f t="shared" si="1"/>
        <v>15.38372093023256</v>
      </c>
    </row>
    <row r="12" spans="1:7" ht="27.75" customHeight="1">
      <c r="A12" s="211" t="s">
        <v>26</v>
      </c>
      <c r="B12" s="38" t="s">
        <v>49</v>
      </c>
      <c r="C12" s="58">
        <v>5</v>
      </c>
      <c r="D12" s="149">
        <v>0.03</v>
      </c>
      <c r="E12" s="53">
        <f>'При №3 б'!O26</f>
        <v>2.75E-2</v>
      </c>
      <c r="F12" s="59">
        <f>D12/E12*100</f>
        <v>109.09090909090908</v>
      </c>
      <c r="G12" s="59">
        <f t="shared" si="1"/>
        <v>5.4545454545454541</v>
      </c>
    </row>
    <row r="13" spans="1:7" ht="27.75" customHeight="1">
      <c r="A13" s="211" t="s">
        <v>28</v>
      </c>
      <c r="B13" s="38" t="s">
        <v>50</v>
      </c>
      <c r="C13" s="58">
        <v>0</v>
      </c>
      <c r="D13" s="149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211" t="s">
        <v>30</v>
      </c>
      <c r="B14" s="38" t="s">
        <v>51</v>
      </c>
      <c r="C14" s="58">
        <v>0</v>
      </c>
      <c r="D14" s="149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211" t="s">
        <v>32</v>
      </c>
      <c r="B15" s="38" t="s">
        <v>52</v>
      </c>
      <c r="C15" s="58">
        <v>10</v>
      </c>
      <c r="D15" s="149">
        <v>8.4</v>
      </c>
      <c r="E15" s="61">
        <f>'При №3 б'!O37</f>
        <v>14.028985507246377</v>
      </c>
      <c r="F15" s="59">
        <f>E15/D15*100</f>
        <v>167.01173222912354</v>
      </c>
      <c r="G15" s="59">
        <f t="shared" si="1"/>
        <v>16.701173222912352</v>
      </c>
    </row>
    <row r="16" spans="1:7" ht="17.25" customHeight="1">
      <c r="A16" s="211" t="s">
        <v>34</v>
      </c>
      <c r="B16" s="38" t="s">
        <v>53</v>
      </c>
      <c r="C16" s="58">
        <v>5</v>
      </c>
      <c r="D16" s="149">
        <v>1.0900000000000001</v>
      </c>
      <c r="E16" s="53">
        <f>'При №3 б'!O40</f>
        <v>1.0862745098039215</v>
      </c>
      <c r="F16" s="59">
        <f>D16/E16*100</f>
        <v>100.34296028880867</v>
      </c>
      <c r="G16" s="59">
        <f t="shared" si="1"/>
        <v>5.0171480144404335</v>
      </c>
    </row>
    <row r="17" spans="1:8" ht="29.25" customHeight="1">
      <c r="A17" s="211" t="s">
        <v>36</v>
      </c>
      <c r="B17" s="38" t="s">
        <v>54</v>
      </c>
      <c r="C17" s="58">
        <v>0</v>
      </c>
      <c r="D17" s="149"/>
      <c r="E17" s="58">
        <f>'При №3 б'!O42</f>
        <v>0</v>
      </c>
      <c r="F17" s="61">
        <v>0</v>
      </c>
      <c r="G17" s="59">
        <f t="shared" si="1"/>
        <v>0</v>
      </c>
    </row>
    <row r="18" spans="1:8" ht="29.25" customHeight="1">
      <c r="A18" s="211" t="s">
        <v>38</v>
      </c>
      <c r="B18" s="38" t="s">
        <v>55</v>
      </c>
      <c r="C18" s="58">
        <v>0</v>
      </c>
      <c r="D18" s="149"/>
      <c r="E18" s="58">
        <f>'При №3 б'!O43</f>
        <v>0</v>
      </c>
      <c r="F18" s="61">
        <v>0</v>
      </c>
      <c r="G18" s="59">
        <f t="shared" si="1"/>
        <v>0</v>
      </c>
    </row>
    <row r="19" spans="1:8" ht="29.25" customHeight="1">
      <c r="A19" s="211" t="s">
        <v>40</v>
      </c>
      <c r="B19" s="38" t="s">
        <v>56</v>
      </c>
      <c r="C19" s="58">
        <v>0</v>
      </c>
      <c r="D19" s="185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8" s="155" customFormat="1" ht="22.5" customHeight="1">
      <c r="A20" s="265" t="s">
        <v>57</v>
      </c>
      <c r="B20" s="265"/>
      <c r="C20" s="210">
        <v>100</v>
      </c>
      <c r="D20" s="210"/>
      <c r="E20" s="140"/>
      <c r="F20" s="140"/>
      <c r="G20" s="141">
        <f>SUM(G7:G19)</f>
        <v>118.22386391925906</v>
      </c>
    </row>
    <row r="21" spans="1:8" s="151" customFormat="1" ht="18.75">
      <c r="A21" s="156" t="s">
        <v>1</v>
      </c>
      <c r="C21" s="157"/>
    </row>
    <row r="22" spans="1:8" s="64" customFormat="1" ht="18.75">
      <c r="B22" s="64" t="s">
        <v>274</v>
      </c>
      <c r="C22" s="65"/>
    </row>
    <row r="23" spans="1:8" s="64" customFormat="1" ht="18.75">
      <c r="B23" s="64" t="s">
        <v>284</v>
      </c>
      <c r="C23" s="264" t="s">
        <v>275</v>
      </c>
      <c r="D23" s="264"/>
      <c r="E23" s="264"/>
      <c r="F23" s="264"/>
      <c r="G23" s="158"/>
      <c r="H23" s="158"/>
    </row>
    <row r="24" spans="1:8" s="64" customFormat="1" ht="18.75">
      <c r="C24" s="213"/>
      <c r="D24" s="213"/>
      <c r="E24" s="213"/>
      <c r="F24" s="213"/>
    </row>
    <row r="25" spans="1:8" s="64" customFormat="1" ht="18.75">
      <c r="B25" s="64" t="s">
        <v>276</v>
      </c>
      <c r="C25" s="264" t="s">
        <v>255</v>
      </c>
      <c r="D25" s="264"/>
      <c r="E25" s="264"/>
      <c r="F25" s="264"/>
      <c r="G25" s="158"/>
      <c r="H25" s="158"/>
    </row>
    <row r="26" spans="1:8" s="64" customFormat="1" ht="18.75">
      <c r="C26" s="65"/>
    </row>
    <row r="27" spans="1:8" s="64" customFormat="1" ht="18.75">
      <c r="B27" s="64" t="s">
        <v>277</v>
      </c>
      <c r="C27" s="264" t="s">
        <v>286</v>
      </c>
      <c r="D27" s="264"/>
      <c r="E27" s="264"/>
      <c r="F27" s="264"/>
      <c r="G27" s="158"/>
    </row>
    <row r="28" spans="1:8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2020-04-30T05:31:40Z</dcterms:modified>
</cp:coreProperties>
</file>