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При №2 а -отч" sheetId="6" r:id="rId1"/>
    <sheet name="При №2 б-отч" sheetId="7" r:id="rId2"/>
    <sheet name="При №2 а" sheetId="2" r:id="rId3"/>
    <sheet name="При №3 б" sheetId="5" r:id="rId4"/>
    <sheet name="При №3 а" sheetId="4" r:id="rId5"/>
    <sheet name="При №2 б" sheetId="3" r:id="rId6"/>
  </sheets>
  <definedNames>
    <definedName name="_xlnm.Print_Area" localSheetId="2">'При №2 а'!$A$1:$K$26</definedName>
    <definedName name="_xlnm.Print_Area" localSheetId="0">'При №2 а -отч'!$A$1:$K$22</definedName>
    <definedName name="_xlnm.Print_Area" localSheetId="5">'При №2 б'!$A$1:$G$27</definedName>
    <definedName name="_xlnm.Print_Area" localSheetId="1">'При №2 б-отч'!$A$1:$K$63</definedName>
    <definedName name="_xlnm.Print_Area" localSheetId="4">'При №3 а'!$A$1:$R$67</definedName>
  </definedNames>
  <calcPr calcId="125725"/>
</workbook>
</file>

<file path=xl/calcChain.xml><?xml version="1.0" encoding="utf-8"?>
<calcChain xmlns="http://schemas.openxmlformats.org/spreadsheetml/2006/main">
  <c r="P45" i="4"/>
  <c r="P23"/>
  <c r="P22"/>
  <c r="P21"/>
  <c r="P8"/>
  <c r="S51"/>
  <c r="O19" i="5"/>
  <c r="L20" i="7"/>
  <c r="L19"/>
  <c r="L18"/>
  <c r="L17"/>
  <c r="L16"/>
  <c r="L15"/>
  <c r="L14"/>
  <c r="L13"/>
  <c r="L12"/>
  <c r="L11"/>
  <c r="L10"/>
  <c r="L9"/>
  <c r="L8"/>
  <c r="K11" i="2" l="1"/>
  <c r="I10"/>
  <c r="J10" s="1"/>
  <c r="K10" s="1"/>
  <c r="O39" i="5"/>
  <c r="O37" s="1"/>
  <c r="E15" i="3" s="1"/>
  <c r="L30" i="7"/>
  <c r="L31"/>
  <c r="L32"/>
  <c r="L33"/>
  <c r="L34"/>
  <c r="L35"/>
  <c r="L36"/>
  <c r="L37"/>
  <c r="L38"/>
  <c r="L39"/>
  <c r="L40"/>
  <c r="L41"/>
  <c r="L29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37" s="1"/>
  <c r="N19"/>
  <c r="P53" i="4"/>
  <c r="P50" s="1"/>
  <c r="I18" i="2" s="1"/>
  <c r="P44" i="4"/>
  <c r="P43"/>
  <c r="P38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27" i="5"/>
  <c r="N26" s="1"/>
  <c r="N17"/>
  <c r="N22" s="1"/>
  <c r="N23" s="1"/>
  <c r="N13"/>
  <c r="N10"/>
  <c r="N7"/>
  <c r="O53" i="4"/>
  <c r="O50" s="1"/>
  <c r="O49"/>
  <c r="O48"/>
  <c r="O44"/>
  <c r="O43"/>
  <c r="O38"/>
  <c r="O34"/>
  <c r="O31"/>
  <c r="O28"/>
  <c r="O25" s="1"/>
  <c r="N8"/>
  <c r="N53"/>
  <c r="N49"/>
  <c r="N50"/>
  <c r="N48"/>
  <c r="N46" s="1"/>
  <c r="N44"/>
  <c r="N43"/>
  <c r="N38"/>
  <c r="N34"/>
  <c r="N31"/>
  <c r="N28"/>
  <c r="N25" s="1"/>
  <c r="N23"/>
  <c r="N22"/>
  <c r="N21"/>
  <c r="M10" i="5"/>
  <c r="M19"/>
  <c r="M40"/>
  <c r="M37"/>
  <c r="M27"/>
  <c r="M26" s="1"/>
  <c r="M17"/>
  <c r="M22" s="1"/>
  <c r="M13"/>
  <c r="M7"/>
  <c r="L17"/>
  <c r="M8" i="4"/>
  <c r="L24"/>
  <c r="K40" i="5"/>
  <c r="K37"/>
  <c r="K27"/>
  <c r="K26" s="1"/>
  <c r="K23"/>
  <c r="K21" s="1"/>
  <c r="K10"/>
  <c r="K19"/>
  <c r="K17"/>
  <c r="K16" s="1"/>
  <c r="K13"/>
  <c r="K7"/>
  <c r="L41" i="4"/>
  <c r="L38" s="1"/>
  <c r="L45"/>
  <c r="L42" s="1"/>
  <c r="L36"/>
  <c r="L50"/>
  <c r="L53"/>
  <c r="L48"/>
  <c r="L46" s="1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I40"/>
  <c r="H40"/>
  <c r="G40"/>
  <c r="J40"/>
  <c r="J38"/>
  <c r="J37" s="1"/>
  <c r="J28"/>
  <c r="J27" s="1"/>
  <c r="J26" s="1"/>
  <c r="J19"/>
  <c r="I17"/>
  <c r="I22" s="1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/>
  <c r="I13"/>
  <c r="I10"/>
  <c r="I7"/>
  <c r="J53" i="6"/>
  <c r="I53"/>
  <c r="H53"/>
  <c r="B41" i="4"/>
  <c r="B38" s="1"/>
  <c r="B10"/>
  <c r="B18" s="1"/>
  <c r="B8" s="1"/>
  <c r="C53"/>
  <c r="C50" s="1"/>
  <c r="C48"/>
  <c r="C47"/>
  <c r="C46"/>
  <c r="C45"/>
  <c r="C42"/>
  <c r="C41"/>
  <c r="C38"/>
  <c r="C36"/>
  <c r="C35"/>
  <c r="C34"/>
  <c r="C33"/>
  <c r="C32"/>
  <c r="C31"/>
  <c r="C30"/>
  <c r="C29"/>
  <c r="C28" s="1"/>
  <c r="C26"/>
  <c r="C24"/>
  <c r="C23"/>
  <c r="C22"/>
  <c r="C21"/>
  <c r="C18"/>
  <c r="C10"/>
  <c r="C8"/>
  <c r="K39"/>
  <c r="K37"/>
  <c r="K49" s="1"/>
  <c r="K29"/>
  <c r="K53"/>
  <c r="K50" s="1"/>
  <c r="I49"/>
  <c r="H49"/>
  <c r="I37"/>
  <c r="H41"/>
  <c r="H38" s="1"/>
  <c r="H32"/>
  <c r="K23"/>
  <c r="H23"/>
  <c r="J22"/>
  <c r="K22" s="1"/>
  <c r="H22"/>
  <c r="H21"/>
  <c r="H10"/>
  <c r="H18" s="1"/>
  <c r="H8" s="1"/>
  <c r="H43"/>
  <c r="H42" s="1"/>
  <c r="H34"/>
  <c r="H31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5"/>
  <c r="B42" s="1"/>
  <c r="B36"/>
  <c r="B35"/>
  <c r="B33"/>
  <c r="B32"/>
  <c r="B30"/>
  <c r="B29"/>
  <c r="B26"/>
  <c r="B24"/>
  <c r="B23"/>
  <c r="B22"/>
  <c r="B2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35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B46" i="4" l="1"/>
  <c r="J13" i="5"/>
  <c r="M16"/>
  <c r="N42" i="4"/>
  <c r="M23" i="5"/>
  <c r="M21" s="1"/>
  <c r="J34" i="4"/>
  <c r="J46"/>
  <c r="K46"/>
  <c r="C25"/>
  <c r="H16" i="5"/>
  <c r="G16"/>
  <c r="O42" i="4"/>
  <c r="P42"/>
  <c r="I16" i="2" s="1"/>
  <c r="K28" i="4"/>
  <c r="K25" s="1"/>
  <c r="K18"/>
  <c r="J31"/>
  <c r="J28"/>
  <c r="B28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9"/>
  <c r="K34" i="4"/>
  <c r="K8"/>
  <c r="B25"/>
  <c r="J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 s="1"/>
  <c r="J12"/>
  <c r="J10" s="1"/>
  <c r="J7"/>
  <c r="G20" i="3" l="1"/>
</calcChain>
</file>

<file path=xl/sharedStrings.xml><?xml version="1.0" encoding="utf-8"?>
<sst xmlns="http://schemas.openxmlformats.org/spreadsheetml/2006/main" count="797" uniqueCount="350">
  <si>
    <t xml:space="preserve">      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</si>
  <si>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</si>
  <si>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</si>
  <si>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</si>
  <si>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</si>
  <si>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</si>
  <si>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</si>
  <si>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</si>
  <si>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</si>
  <si>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</si>
  <si>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</si>
  <si>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</si>
  <si>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</si>
  <si>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</si>
  <si>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</si>
  <si>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</si>
  <si>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</si>
  <si>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</si>
  <si>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</si>
  <si>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</si>
  <si>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</si>
  <si>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</si>
  <si>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</si>
  <si>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</si>
  <si>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</si>
  <si>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</si>
  <si>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</si>
  <si>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</si>
  <si>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</si>
  <si>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</si>
  <si>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</si>
  <si>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</si>
  <si>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</si>
  <si>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</si>
  <si>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</si>
  <si>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</si>
  <si>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</si>
  <si>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</si>
  <si>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</si>
  <si>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</si>
  <si>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</si>
  <si>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</si>
  <si>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</si>
  <si>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</si>
  <si>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</si>
  <si>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</si>
  <si>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</si>
  <si>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</si>
  <si>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</si>
  <si>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</si>
  <si>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</si>
  <si>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</si>
  <si>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</si>
  <si>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</si>
  <si>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</si>
  <si>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</si>
  <si>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</si>
  <si>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</si>
  <si>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</si>
  <si>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</si>
  <si>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</si>
  <si>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</si>
  <si>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</si>
  <si>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</si>
  <si>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</si>
  <si>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</si>
  <si>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</si>
  <si>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</si>
  <si>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</si>
  <si>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</si>
  <si>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</si>
  <si>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</si>
  <si>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</si>
  <si>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</si>
  <si>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</si>
  <si>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</si>
  <si>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</si>
  <si>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</si>
  <si>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</si>
  <si>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</si>
  <si>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</si>
  <si>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</si>
  <si>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</si>
  <si>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</si>
  <si>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</si>
  <si>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</si>
  <si>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</si>
  <si>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</si>
  <si>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</si>
  <si>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</si>
  <si>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</si>
  <si>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</si>
  <si>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</si>
  <si>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</si>
  <si>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</si>
  <si>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</si>
  <si>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</si>
  <si>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</si>
  <si>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</si>
  <si>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</si>
  <si>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</si>
  <si>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</si>
  <si>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</si>
  <si>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</si>
  <si>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</si>
  <si>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</si>
  <si>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</si>
  <si>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</si>
  <si>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</si>
  <si>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</si>
  <si>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</si>
  <si>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</si>
  <si>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</si>
  <si>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</si>
  <si>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</si>
  <si>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</si>
  <si>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</si>
  <si>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</si>
  <si>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</si>
  <si>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</si>
  <si>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</si>
  <si>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</si>
  <si>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</si>
  <si>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</si>
  <si>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</si>
  <si>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</si>
  <si>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</si>
  <si>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</si>
  <si>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</si>
  <si>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</si>
  <si>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</si>
  <si>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</si>
  <si>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</si>
  <si>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</si>
  <si>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</si>
  <si>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</si>
  <si>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</si>
  <si>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</si>
  <si>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</si>
  <si>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</si>
  <si>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</si>
  <si>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</si>
  <si>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</si>
  <si>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</si>
  <si>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</si>
  <si>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</si>
  <si>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</si>
  <si>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</si>
  <si>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</si>
  <si>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</si>
  <si>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</si>
  <si>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</si>
  <si>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</si>
  <si>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</si>
  <si>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</si>
  <si>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</si>
  <si>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</si>
  <si>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</si>
  <si>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</si>
  <si>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</si>
  <si>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</si>
  <si>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</si>
  <si>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</si>
  <si>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</si>
  <si>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</si>
  <si>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</si>
  <si>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</si>
  <si>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</si>
  <si>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</si>
  <si>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</si>
  <si>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</si>
  <si>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</si>
  <si>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</si>
  <si>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</si>
  <si>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</si>
  <si>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</si>
  <si>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</si>
  <si>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</si>
  <si>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</si>
  <si>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</si>
  <si>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</si>
  <si>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</si>
  <si>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</si>
  <si>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</si>
  <si>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</si>
  <si>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</si>
  <si>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</si>
  <si>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</si>
  <si>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</si>
  <si>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</si>
  <si>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</si>
  <si>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</si>
  <si>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</si>
  <si>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</si>
  <si>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</si>
  <si>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</si>
  <si>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</si>
  <si>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</si>
  <si>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</si>
  <si>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</si>
  <si>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</si>
  <si>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</si>
  <si>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</si>
  <si>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</si>
  <si>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</si>
  <si>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</si>
  <si>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</si>
  <si>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</si>
  <si>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</si>
  <si>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</si>
  <si>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</si>
  <si>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</si>
  <si>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</si>
  <si>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</si>
  <si>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</si>
  <si>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</si>
  <si>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</si>
  <si>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</si>
  <si>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</si>
  <si>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</si>
  <si>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</si>
  <si>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</si>
  <si>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</si>
  <si>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</si>
  <si>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</si>
  <si>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</si>
  <si>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</si>
  <si>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</si>
  <si>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</si>
  <si>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</si>
  <si>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</si>
  <si>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</si>
  <si>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</si>
  <si>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</si>
  <si>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</si>
  <si>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</si>
  <si>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</si>
  <si>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</si>
  <si>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</si>
  <si>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</si>
  <si>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</si>
  <si>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</si>
  <si>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</si>
  <si>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</si>
  <si>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</si>
  <si>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</si>
  <si>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</si>
  <si>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</si>
  <si>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</si>
  <si>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</si>
  <si>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</si>
  <si>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</si>
  <si>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</si>
  <si>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</si>
  <si>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</si>
  <si>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</si>
  <si>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</si>
  <si>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</si>
  <si>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</si>
  <si>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</si>
  <si>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</si>
  <si>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</si>
  <si>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</si>
  <si>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Бош ҳисобчи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</si>
  <si>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</si>
  <si>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</si>
  <si>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</si>
  <si>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</si>
  <si>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</si>
  <si>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</si>
  <si>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</si>
  <si>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</si>
  <si>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</si>
  <si>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</si>
  <si>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</si>
  <si>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</si>
  <si>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</si>
  <si>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</si>
  <si>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</si>
  <si>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</si>
  <si>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</si>
  <si>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</si>
  <si>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</si>
  <si>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</si>
  <si>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Факт 2-кв.2020г.</t>
  </si>
  <si>
    <t>факт 2-кв.2020г.</t>
  </si>
  <si>
    <t>9-1. ПЕРЕЧЕНЬ</t>
  </si>
  <si>
    <t>9. ПЕРЕЧЕНЬ</t>
  </si>
  <si>
    <t>Кадиров А.А.</t>
  </si>
  <si>
    <t>Иқтисод бўлими бошлиғи</t>
  </si>
  <si>
    <t>(363-365)</t>
  </si>
  <si>
    <t>основных ключевых показателей эффективности (за 3-кв. 2021г.)</t>
  </si>
  <si>
    <t>дополнительных ключевых показателей эффективности (за 3-кв. 2021г.)</t>
  </si>
  <si>
    <t>Низомга №2б Илова</t>
  </si>
  <si>
    <t>Қўшимча асосий  самарадорлик кўрсаткичлари (2-ч. 2021й.)</t>
  </si>
  <si>
    <t>9.1 РУЙХАТИ</t>
  </si>
  <si>
    <t>Кўрсаткич</t>
  </si>
  <si>
    <t>Оғирлиги</t>
  </si>
  <si>
    <t>Прогноз 4-ч. 2020г.</t>
  </si>
  <si>
    <t>Прогноз (мақсадли) қиймати 2020й.</t>
  </si>
  <si>
    <t>Хақиқий қиймати</t>
  </si>
  <si>
    <t>Бажарилиш фоизи</t>
  </si>
  <si>
    <t>ИЧСК</t>
  </si>
  <si>
    <t>1-ч. 2020г.</t>
  </si>
  <si>
    <t>2-ч. 2020г.</t>
  </si>
  <si>
    <t>3-ч. 2020г.</t>
  </si>
  <si>
    <t>1-ч. 2021г.</t>
  </si>
  <si>
    <t>2-ч. 2021г.</t>
  </si>
  <si>
    <t>3-ч. 2021г.</t>
  </si>
  <si>
    <t>4-ч. 2021г.</t>
  </si>
  <si>
    <r>
      <t>1. Фоизлар, солиқлар ва амортизацияни тўлашдан олдинги даромад.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</si>
  <si>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r>
      <t>2. Харажатлар ва даромадлар нисбати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</si>
  <si>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r>
      <t>3. Жалб қилинган капитал рентабеллиги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</si>
  <si>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r>
      <t>4. Акциядорлик капитал рентабеллиги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</si>
  <si>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r>
      <t>5.Акциядорларнинг сармоя рентабеллиги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</si>
  <si>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 Активлар рентабеллиги</t>
  </si>
  <si>
    <t>7. Мутлақ ликвидлик коэффициенти</t>
  </si>
  <si>
    <t>8. Молиявий эркинлик коэффициенти</t>
  </si>
  <si>
    <t>9. Кредиторлик қарзларнинг кун хисобидаги айланмаси</t>
  </si>
  <si>
    <t>9. Дебиторлик қарзларнинг кун хисобидаги айланмаси</t>
  </si>
  <si>
    <t>11.Қоплаш коэффициенти (тўлов қобилияти)</t>
  </si>
  <si>
    <t>13. Дивиденд даромади</t>
  </si>
  <si>
    <r>
      <t>*)</t>
    </r>
    <r>
      <rPr>
        <b/>
        <sz val="12"/>
        <color theme="1"/>
        <rFont val="Times New Roman"/>
        <family val="1"/>
        <charset val="204"/>
      </rPr>
      <t xml:space="preserve"> Изох: Халқаро молиявий ҳисобот стандартларига мувофиқ молиявий ҳисоботларни нашр қилингандан кейин тўлдирилиши керак.</t>
    </r>
  </si>
  <si>
    <t>Курсаткич</t>
  </si>
  <si>
    <t>Прогноз 4-ч. 2020й.</t>
  </si>
  <si>
    <t xml:space="preserve">2021 йил прогноз (мақсадли) киймати </t>
  </si>
  <si>
    <t>Прогноз (мақсадли) қиймати</t>
  </si>
  <si>
    <t>бажарилиш фоизи</t>
  </si>
  <si>
    <t>ИЧС</t>
  </si>
  <si>
    <t>1-ч. 2021й.</t>
  </si>
  <si>
    <t>2-ч. 2020й.</t>
  </si>
  <si>
    <t>3-кв. 2020й.</t>
  </si>
  <si>
    <t>2-ч. 2021й.</t>
  </si>
  <si>
    <t>3-ч. 2021й.</t>
  </si>
  <si>
    <t>4-ч. 2021й.</t>
  </si>
  <si>
    <t>Қўшимча асосий  самарадорлик кўрсаткичлари (3-ч. 2021й.)</t>
  </si>
  <si>
    <t>1. Асосий  воситаларнинг  амортизация  нормаси</t>
  </si>
  <si>
    <t>2.Асосий  фондларнинг янгиланиш коэффициенти</t>
  </si>
  <si>
    <t>3. Мехнат  унумдорлиги</t>
  </si>
  <si>
    <t>4. Активларнинг рентабеллиги</t>
  </si>
  <si>
    <t>5. Ишлаб  чиқариш қуввати коэффициенти</t>
  </si>
  <si>
    <t>6. Энергия самарадорлиги (махсулот таннархи тузилмасида энергия харажатларининг улуши)</t>
  </si>
  <si>
    <t>7. Сотилган махсулотларнинг умумий хажмида инновацион махсулотларнинг улуши</t>
  </si>
  <si>
    <t>8.Корхонанинг  умумий харажатларида иноовацион фаолият улуши</t>
  </si>
  <si>
    <t>9. Ходимларни касбғхунарга ўқитиш учун кетказилган харажатлар, бир ходим хисобида</t>
  </si>
  <si>
    <t>10. Кадрлар алмашинуви коэффициенти</t>
  </si>
  <si>
    <t>11.Пул кўрсаткичида инвестиция дастурини  амалга  ошириш</t>
  </si>
  <si>
    <t>12. Қувватларни ишга тушириш параметрларини бажариш кўрсаткичи (эълон қилинган жисмоний хажмдан фоизда)</t>
  </si>
  <si>
    <t>13. Экспорт параметрларини амалга ошириш кўрсаткичи (пул хажмига нисбатан фоизда)</t>
  </si>
  <si>
    <t>Жами (ЖСК)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</si>
</sst>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1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2" fillId="3" borderId="61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O67"/>
  <sheetViews>
    <sheetView workbookViewId="0">
      <selection activeCell="A22" sqref="A22:N22"/>
    </sheetView>
  </sheetViews>
  <sheetFormatPr defaultRowHeight="15"/>
  <cols>
    <col min="1" max="1" width="5.140625" style="53" customWidth="1"/>
    <col min="2" max="2" width="50.42578125" style="53" customWidth="1"/>
    <col min="3" max="3" width="10.28515625" style="53" customWidth="1"/>
    <col min="4" max="7" width="8.42578125" style="53" customWidth="1"/>
    <col min="8" max="11" width="9.28515625" style="53" customWidth="1"/>
    <col min="12" max="12" width="12.140625" style="53" customWidth="1"/>
    <col min="13" max="13" width="13.28515625" style="53" customWidth="1"/>
    <col min="14" max="14" width="13" style="53" customWidth="1"/>
    <col min="15" max="15" width="9.140625" style="53"/>
    <col min="16" max="16" width="16" style="53" customWidth="1"/>
    <col min="17" max="17" width="11.5703125" style="53" bestFit="1" customWidth="1"/>
    <col min="18" max="18" width="9.140625" style="53"/>
    <col min="19" max="19" width="12.7109375" style="53" customWidth="1"/>
    <col min="20" max="16384" width="9.140625" style="53"/>
  </cols>
  <sheetData>
    <row r="1" spans="1:15"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 t="s">
        <v>293</v>
      </c>
    </row>
    <row r="2" spans="1:15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</row>
    <row r="3" spans="1:15" s="51" customFormat="1" ht="18" customHeight="1">
      <c r="B3" s="334"/>
      <c r="C3" s="334"/>
      <c r="D3" s="334" t="s">
        <v>294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</row>
    <row r="4" spans="1:15" s="51" customFormat="1" ht="18.75" customHeight="1" thickBot="1">
      <c r="B4" s="335"/>
      <c r="C4" s="335"/>
      <c r="D4" s="335" t="s">
        <v>295</v>
      </c>
      <c r="E4" s="335"/>
      <c r="F4" s="335"/>
      <c r="G4" s="335"/>
      <c r="H4" s="335"/>
      <c r="I4" s="335"/>
      <c r="J4" s="335"/>
      <c r="K4" s="335"/>
      <c r="L4" s="335"/>
      <c r="M4" s="335"/>
      <c r="N4" s="335"/>
    </row>
    <row r="5" spans="1:15" s="51" customFormat="1" ht="19.5" thickBot="1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5" s="51" customFormat="1" ht="41.25" customHeight="1" thickBot="1">
      <c r="A6" s="420" t="s">
        <v>6</v>
      </c>
      <c r="B6" s="420" t="s">
        <v>296</v>
      </c>
      <c r="C6" s="420" t="s">
        <v>297</v>
      </c>
      <c r="D6" s="421" t="s">
        <v>223</v>
      </c>
      <c r="E6" s="422"/>
      <c r="F6" s="423"/>
      <c r="G6" s="424" t="s">
        <v>298</v>
      </c>
      <c r="H6" s="421" t="s">
        <v>299</v>
      </c>
      <c r="I6" s="422"/>
      <c r="J6" s="422"/>
      <c r="K6" s="423"/>
      <c r="L6" s="420" t="s">
        <v>300</v>
      </c>
      <c r="M6" s="420" t="s">
        <v>301</v>
      </c>
      <c r="N6" s="420" t="s">
        <v>302</v>
      </c>
    </row>
    <row r="7" spans="1:15" s="51" customFormat="1" ht="50.25" customHeight="1" thickBot="1">
      <c r="A7" s="425"/>
      <c r="B7" s="426"/>
      <c r="C7" s="426"/>
      <c r="D7" s="154" t="s">
        <v>303</v>
      </c>
      <c r="E7" s="155" t="s">
        <v>304</v>
      </c>
      <c r="F7" s="156" t="s">
        <v>305</v>
      </c>
      <c r="G7" s="427"/>
      <c r="H7" s="157" t="s">
        <v>306</v>
      </c>
      <c r="I7" s="155" t="s">
        <v>307</v>
      </c>
      <c r="J7" s="155" t="s">
        <v>308</v>
      </c>
      <c r="K7" s="158" t="s">
        <v>309</v>
      </c>
      <c r="L7" s="426"/>
      <c r="M7" s="426"/>
      <c r="N7" s="426"/>
    </row>
    <row r="8" spans="1:15" s="51" customFormat="1" ht="15.75" thickBot="1">
      <c r="A8" s="227"/>
      <c r="B8" s="186" t="s">
        <v>9</v>
      </c>
      <c r="C8" s="187" t="s">
        <v>10</v>
      </c>
      <c r="D8" s="188"/>
      <c r="E8" s="62"/>
      <c r="F8" s="62"/>
      <c r="G8" s="62"/>
      <c r="H8" s="62"/>
      <c r="I8" s="62"/>
      <c r="J8" s="62"/>
      <c r="K8" s="189"/>
      <c r="L8" s="100" t="s">
        <v>12</v>
      </c>
      <c r="M8" s="226" t="s">
        <v>13</v>
      </c>
      <c r="N8" s="100" t="s">
        <v>14</v>
      </c>
    </row>
    <row r="9" spans="1:15" s="51" customFormat="1" ht="39.75" customHeight="1">
      <c r="A9" s="170" t="s">
        <v>15</v>
      </c>
      <c r="B9" s="190" t="s">
        <v>310</v>
      </c>
      <c r="C9" s="169">
        <v>10</v>
      </c>
      <c r="D9" s="191">
        <v>5254814</v>
      </c>
      <c r="E9" s="76">
        <v>1333727</v>
      </c>
      <c r="F9" s="76">
        <v>16027164</v>
      </c>
      <c r="G9" s="76">
        <v>17382087</v>
      </c>
      <c r="H9" s="76">
        <v>4777104</v>
      </c>
      <c r="I9" s="76">
        <v>1212479</v>
      </c>
      <c r="J9" s="76">
        <v>14570149</v>
      </c>
      <c r="K9" s="77">
        <v>17382087</v>
      </c>
      <c r="L9" s="63"/>
      <c r="M9" s="63"/>
      <c r="N9" s="63"/>
      <c r="O9" s="51">
        <v>10</v>
      </c>
    </row>
    <row r="10" spans="1:15" s="51" customFormat="1" ht="26.25" customHeight="1">
      <c r="A10" s="170" t="s">
        <v>17</v>
      </c>
      <c r="B10" s="74" t="s">
        <v>311</v>
      </c>
      <c r="C10" s="72">
        <v>10</v>
      </c>
      <c r="D10" s="193">
        <v>3.1E-2</v>
      </c>
      <c r="E10" s="37">
        <v>0.49</v>
      </c>
      <c r="F10" s="37">
        <v>3.5000000000000003E-2</v>
      </c>
      <c r="G10" s="37">
        <v>5.3999999999999999E-2</v>
      </c>
      <c r="H10" s="37">
        <v>0.04</v>
      </c>
      <c r="I10" s="37">
        <v>6.9000000000000006E-2</v>
      </c>
      <c r="J10" s="37">
        <v>0.05</v>
      </c>
      <c r="K10" s="70">
        <v>5.3999999999999999E-2</v>
      </c>
      <c r="L10" s="172"/>
      <c r="M10" s="54"/>
      <c r="N10" s="70"/>
    </row>
    <row r="11" spans="1:15" s="51" customFormat="1" ht="32.25" customHeight="1">
      <c r="A11" s="170" t="s">
        <v>19</v>
      </c>
      <c r="B11" s="74" t="s">
        <v>312</v>
      </c>
      <c r="C11" s="72">
        <v>10</v>
      </c>
      <c r="D11" s="194">
        <v>0.08</v>
      </c>
      <c r="E11" s="54">
        <v>0.39</v>
      </c>
      <c r="F11" s="54">
        <v>0.22</v>
      </c>
      <c r="G11" s="54">
        <v>0.36</v>
      </c>
      <c r="H11" s="194">
        <v>0.08</v>
      </c>
      <c r="I11" s="54">
        <v>0.39</v>
      </c>
      <c r="J11" s="54">
        <v>0.22</v>
      </c>
      <c r="K11" s="54">
        <v>0.36</v>
      </c>
      <c r="L11" s="172"/>
      <c r="M11" s="54"/>
      <c r="N11" s="70"/>
    </row>
    <row r="12" spans="1:15" s="51" customFormat="1" ht="27.75" customHeight="1">
      <c r="A12" s="170" t="s">
        <v>21</v>
      </c>
      <c r="B12" s="74" t="s">
        <v>313</v>
      </c>
      <c r="C12" s="72">
        <v>10</v>
      </c>
      <c r="D12" s="195">
        <v>0.08</v>
      </c>
      <c r="E12" s="49">
        <v>0.39</v>
      </c>
      <c r="F12" s="49">
        <v>0.22</v>
      </c>
      <c r="G12" s="49">
        <v>0.7</v>
      </c>
      <c r="H12" s="195">
        <v>0.08</v>
      </c>
      <c r="I12" s="49">
        <v>0.39</v>
      </c>
      <c r="J12" s="49">
        <v>0.22</v>
      </c>
      <c r="K12" s="49">
        <v>0.7</v>
      </c>
      <c r="L12" s="172"/>
      <c r="M12" s="54"/>
      <c r="N12" s="70"/>
    </row>
    <row r="13" spans="1:15" s="51" customFormat="1" ht="32.25" customHeight="1">
      <c r="A13" s="170" t="s">
        <v>23</v>
      </c>
      <c r="B13" s="74" t="s">
        <v>314</v>
      </c>
      <c r="C13" s="72">
        <v>10</v>
      </c>
      <c r="D13" s="194">
        <v>0</v>
      </c>
      <c r="E13" s="54">
        <v>0</v>
      </c>
      <c r="F13" s="54">
        <v>0</v>
      </c>
      <c r="G13" s="54">
        <v>0.16</v>
      </c>
      <c r="H13" s="194">
        <v>0</v>
      </c>
      <c r="I13" s="54">
        <v>0</v>
      </c>
      <c r="J13" s="54">
        <v>0</v>
      </c>
      <c r="K13" s="54">
        <v>0.16</v>
      </c>
      <c r="L13" s="172"/>
      <c r="M13" s="54"/>
      <c r="N13" s="70"/>
    </row>
    <row r="14" spans="1:15" s="51" customFormat="1" ht="18.75" customHeight="1">
      <c r="A14" s="170" t="s">
        <v>25</v>
      </c>
      <c r="B14" s="74" t="s">
        <v>315</v>
      </c>
      <c r="C14" s="72">
        <v>5</v>
      </c>
      <c r="D14" s="194">
        <v>3.7999999999999999E-2</v>
      </c>
      <c r="E14" s="54">
        <v>8.5999999999999993E-2</v>
      </c>
      <c r="F14" s="54">
        <v>8.7999999999999995E-2</v>
      </c>
      <c r="G14" s="54">
        <v>9.5000000000000001E-2</v>
      </c>
      <c r="H14" s="194">
        <v>3.7999999999999999E-2</v>
      </c>
      <c r="I14" s="54">
        <v>8.5999999999999993E-2</v>
      </c>
      <c r="J14" s="54">
        <v>8.7999999999999995E-2</v>
      </c>
      <c r="K14" s="54">
        <v>9.5000000000000001E-2</v>
      </c>
      <c r="L14" s="172"/>
      <c r="M14" s="54"/>
      <c r="N14" s="70"/>
    </row>
    <row r="15" spans="1:15" s="51" customFormat="1" ht="18.75" customHeight="1">
      <c r="A15" s="170" t="s">
        <v>27</v>
      </c>
      <c r="B15" s="74" t="s">
        <v>316</v>
      </c>
      <c r="C15" s="72">
        <v>5</v>
      </c>
      <c r="D15" s="196">
        <v>7.0000000000000001E-3</v>
      </c>
      <c r="E15" s="59">
        <v>0.16500000000000001</v>
      </c>
      <c r="F15" s="59">
        <v>5.0000000000000001E-3</v>
      </c>
      <c r="G15" s="59">
        <v>3.2000000000000001E-2</v>
      </c>
      <c r="H15" s="196">
        <v>7.0000000000000001E-3</v>
      </c>
      <c r="I15" s="59">
        <v>0.16500000000000001</v>
      </c>
      <c r="J15" s="59">
        <v>5.0000000000000001E-3</v>
      </c>
      <c r="K15" s="59">
        <v>3.2000000000000001E-2</v>
      </c>
      <c r="L15" s="172"/>
      <c r="M15" s="54"/>
      <c r="N15" s="70"/>
    </row>
    <row r="16" spans="1:15" s="51" customFormat="1" ht="18.75" customHeight="1">
      <c r="A16" s="170" t="s">
        <v>29</v>
      </c>
      <c r="B16" s="74" t="s">
        <v>317</v>
      </c>
      <c r="C16" s="72">
        <v>5</v>
      </c>
      <c r="D16" s="194">
        <v>0.61</v>
      </c>
      <c r="E16" s="49">
        <v>2.02</v>
      </c>
      <c r="F16" s="54">
        <v>0.37</v>
      </c>
      <c r="G16" s="54">
        <v>0.18</v>
      </c>
      <c r="H16" s="194">
        <v>0.25</v>
      </c>
      <c r="I16" s="49">
        <v>1.35</v>
      </c>
      <c r="J16" s="54">
        <v>0.21</v>
      </c>
      <c r="K16" s="54">
        <v>0.18</v>
      </c>
      <c r="L16" s="172"/>
      <c r="M16" s="54"/>
      <c r="N16" s="70"/>
    </row>
    <row r="17" spans="1:14" s="51" customFormat="1" ht="18.75" customHeight="1">
      <c r="A17" s="170" t="s">
        <v>31</v>
      </c>
      <c r="B17" s="74" t="s">
        <v>318</v>
      </c>
      <c r="C17" s="72">
        <v>10</v>
      </c>
      <c r="D17" s="194">
        <v>33.6</v>
      </c>
      <c r="E17" s="54">
        <v>58.1</v>
      </c>
      <c r="F17" s="57">
        <v>12.4</v>
      </c>
      <c r="G17" s="57">
        <v>30.1</v>
      </c>
      <c r="H17" s="194">
        <v>33.6</v>
      </c>
      <c r="I17" s="54">
        <v>69.7</v>
      </c>
      <c r="J17" s="57">
        <v>22</v>
      </c>
      <c r="K17" s="57">
        <v>30.1</v>
      </c>
      <c r="L17" s="172"/>
      <c r="M17" s="54"/>
      <c r="N17" s="70"/>
    </row>
    <row r="18" spans="1:14" s="51" customFormat="1" ht="18.75" customHeight="1">
      <c r="A18" s="170" t="s">
        <v>33</v>
      </c>
      <c r="B18" s="74" t="s">
        <v>319</v>
      </c>
      <c r="C18" s="72">
        <v>10</v>
      </c>
      <c r="D18" s="194">
        <v>35.9</v>
      </c>
      <c r="E18" s="54">
        <v>9</v>
      </c>
      <c r="F18" s="54">
        <v>13.8</v>
      </c>
      <c r="G18" s="54">
        <v>8.1999999999999993</v>
      </c>
      <c r="H18" s="194">
        <v>35.9</v>
      </c>
      <c r="I18" s="54">
        <v>9</v>
      </c>
      <c r="J18" s="54">
        <v>13.8</v>
      </c>
      <c r="K18" s="54">
        <v>8.1999999999999993</v>
      </c>
      <c r="L18" s="172"/>
      <c r="M18" s="54"/>
      <c r="N18" s="70"/>
    </row>
    <row r="19" spans="1:14" s="51" customFormat="1" ht="18.75" customHeight="1">
      <c r="A19" s="170" t="s">
        <v>35</v>
      </c>
      <c r="B19" s="74" t="s">
        <v>320</v>
      </c>
      <c r="C19" s="72">
        <v>5</v>
      </c>
      <c r="D19" s="194">
        <v>1.23</v>
      </c>
      <c r="E19" s="54">
        <v>1.05</v>
      </c>
      <c r="F19" s="54">
        <v>1.17</v>
      </c>
      <c r="G19" s="54">
        <v>1.17</v>
      </c>
      <c r="H19" s="194">
        <v>1.23</v>
      </c>
      <c r="I19" s="54">
        <v>1.05</v>
      </c>
      <c r="J19" s="54">
        <v>1.17</v>
      </c>
      <c r="K19" s="54">
        <v>1.17</v>
      </c>
      <c r="L19" s="172"/>
      <c r="M19" s="54"/>
      <c r="N19" s="70"/>
    </row>
    <row r="20" spans="1:14" s="51" customFormat="1" ht="18.75" customHeight="1" thickBot="1">
      <c r="A20" s="175" t="s">
        <v>37</v>
      </c>
      <c r="B20" s="75" t="s">
        <v>321</v>
      </c>
      <c r="C20" s="73">
        <v>10</v>
      </c>
      <c r="D20" s="197">
        <v>0.3</v>
      </c>
      <c r="E20" s="71">
        <v>0.27</v>
      </c>
      <c r="F20" s="71">
        <v>0.3</v>
      </c>
      <c r="G20" s="153">
        <v>7.0000000000000007E-2</v>
      </c>
      <c r="H20" s="197">
        <v>0.3</v>
      </c>
      <c r="I20" s="71">
        <v>0.27</v>
      </c>
      <c r="J20" s="71">
        <v>0.3</v>
      </c>
      <c r="K20" s="153">
        <v>7.0000000000000007E-2</v>
      </c>
      <c r="L20" s="198"/>
      <c r="M20" s="71"/>
      <c r="N20" s="199"/>
    </row>
    <row r="21" spans="1:14" s="51" customFormat="1" ht="32.25" customHeight="1" thickBot="1">
      <c r="A21" s="349" t="s">
        <v>41</v>
      </c>
      <c r="B21" s="350"/>
      <c r="C21" s="100">
        <v>100</v>
      </c>
      <c r="D21" s="232"/>
      <c r="E21" s="232"/>
      <c r="F21" s="232"/>
      <c r="G21" s="188"/>
      <c r="H21" s="62"/>
      <c r="I21" s="62"/>
      <c r="J21" s="62"/>
      <c r="K21" s="62"/>
      <c r="L21" s="200"/>
      <c r="M21" s="201"/>
      <c r="N21" s="200"/>
    </row>
    <row r="22" spans="1:14" s="51" customFormat="1" ht="47.25" customHeight="1">
      <c r="A22" s="428" t="s">
        <v>322</v>
      </c>
      <c r="B22" s="428"/>
      <c r="C22" s="428"/>
      <c r="D22" s="428"/>
      <c r="E22" s="428"/>
      <c r="F22" s="428"/>
      <c r="G22" s="428"/>
      <c r="H22" s="428"/>
      <c r="I22" s="428"/>
      <c r="J22" s="428"/>
      <c r="K22" s="428"/>
      <c r="L22" s="428"/>
      <c r="M22" s="428"/>
      <c r="N22" s="428"/>
    </row>
    <row r="23" spans="1:14">
      <c r="A23" s="347" t="s">
        <v>3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</row>
    <row r="24" spans="1:14" s="51" customFormat="1" ht="18" customHeight="1">
      <c r="A24" s="348" t="s">
        <v>237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48"/>
    </row>
    <row r="25" spans="1:14" s="51" customFormat="1" ht="18.75">
      <c r="A25" s="348" t="s">
        <v>5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</row>
    <row r="26" spans="1:14" s="51" customFormat="1" ht="19.5" thickBot="1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</row>
    <row r="27" spans="1:14" s="51" customFormat="1" ht="41.25" customHeight="1" thickBot="1">
      <c r="A27" s="336" t="s">
        <v>6</v>
      </c>
      <c r="B27" s="338" t="s">
        <v>7</v>
      </c>
      <c r="C27" s="336" t="s">
        <v>180</v>
      </c>
      <c r="D27" s="340" t="s">
        <v>223</v>
      </c>
      <c r="E27" s="341"/>
      <c r="F27" s="342"/>
      <c r="G27" s="343" t="s">
        <v>276</v>
      </c>
      <c r="H27" s="345" t="s">
        <v>281</v>
      </c>
      <c r="I27" s="341"/>
      <c r="J27" s="341"/>
      <c r="K27" s="346"/>
      <c r="L27" s="336" t="s">
        <v>181</v>
      </c>
      <c r="M27" s="338" t="s">
        <v>182</v>
      </c>
      <c r="N27" s="336" t="s">
        <v>8</v>
      </c>
    </row>
    <row r="28" spans="1:14" s="51" customFormat="1" ht="50.25" customHeight="1" thickBot="1">
      <c r="A28" s="369"/>
      <c r="B28" s="339"/>
      <c r="C28" s="337"/>
      <c r="D28" s="154" t="s">
        <v>273</v>
      </c>
      <c r="E28" s="155" t="s">
        <v>274</v>
      </c>
      <c r="F28" s="156" t="s">
        <v>275</v>
      </c>
      <c r="G28" s="344"/>
      <c r="H28" s="157" t="s">
        <v>277</v>
      </c>
      <c r="I28" s="155" t="s">
        <v>278</v>
      </c>
      <c r="J28" s="155" t="s">
        <v>279</v>
      </c>
      <c r="K28" s="158" t="s">
        <v>280</v>
      </c>
      <c r="L28" s="337"/>
      <c r="M28" s="339"/>
      <c r="N28" s="337"/>
    </row>
    <row r="29" spans="1:14" s="51" customFormat="1" ht="15.75" thickBot="1">
      <c r="A29" s="319"/>
      <c r="B29" s="186" t="s">
        <v>9</v>
      </c>
      <c r="C29" s="187" t="s">
        <v>10</v>
      </c>
      <c r="D29" s="188"/>
      <c r="E29" s="62"/>
      <c r="F29" s="62"/>
      <c r="G29" s="62"/>
      <c r="H29" s="62"/>
      <c r="I29" s="62"/>
      <c r="J29" s="62"/>
      <c r="K29" s="189"/>
      <c r="L29" s="100" t="s">
        <v>12</v>
      </c>
      <c r="M29" s="317" t="s">
        <v>13</v>
      </c>
      <c r="N29" s="100" t="s">
        <v>14</v>
      </c>
    </row>
    <row r="30" spans="1:14" s="51" customFormat="1" ht="39.75" customHeight="1">
      <c r="A30" s="170" t="s">
        <v>15</v>
      </c>
      <c r="B30" s="190" t="s">
        <v>16</v>
      </c>
      <c r="C30" s="169">
        <v>10</v>
      </c>
      <c r="D30" s="191">
        <v>6340131</v>
      </c>
      <c r="E30" s="76">
        <v>1333727</v>
      </c>
      <c r="F30" s="76">
        <v>22005456</v>
      </c>
      <c r="G30" s="76">
        <v>3098755</v>
      </c>
      <c r="H30" s="76">
        <v>4345522</v>
      </c>
      <c r="I30" s="76">
        <v>8691043</v>
      </c>
      <c r="J30" s="76">
        <v>13036565</v>
      </c>
      <c r="K30" s="77">
        <v>17382087</v>
      </c>
      <c r="L30" s="63"/>
      <c r="M30" s="167"/>
      <c r="N30" s="192"/>
    </row>
    <row r="31" spans="1:14" s="51" customFormat="1" ht="26.25" customHeight="1">
      <c r="A31" s="170" t="s">
        <v>17</v>
      </c>
      <c r="B31" s="74" t="s">
        <v>18</v>
      </c>
      <c r="C31" s="72">
        <v>10</v>
      </c>
      <c r="D31" s="193">
        <v>2.5999999999999999E-2</v>
      </c>
      <c r="E31" s="37">
        <v>0.49</v>
      </c>
      <c r="F31" s="37">
        <v>3.6999999999999998E-2</v>
      </c>
      <c r="G31" s="37">
        <v>8.2000000000000003E-2</v>
      </c>
      <c r="H31" s="37">
        <v>0.04</v>
      </c>
      <c r="I31" s="37">
        <v>0.69</v>
      </c>
      <c r="J31" s="37">
        <v>0.05</v>
      </c>
      <c r="K31" s="70">
        <v>5.3999999999999999E-2</v>
      </c>
      <c r="L31" s="172"/>
      <c r="M31" s="54"/>
      <c r="N31" s="70"/>
    </row>
    <row r="32" spans="1:14" s="51" customFormat="1" ht="32.25" customHeight="1">
      <c r="A32" s="170" t="s">
        <v>19</v>
      </c>
      <c r="B32" s="74" t="s">
        <v>20</v>
      </c>
      <c r="C32" s="72">
        <v>10</v>
      </c>
      <c r="D32" s="194">
        <v>0.2</v>
      </c>
      <c r="E32" s="54">
        <v>0.39</v>
      </c>
      <c r="F32" s="54">
        <v>0.57999999999999996</v>
      </c>
      <c r="G32" s="54">
        <v>0.08</v>
      </c>
      <c r="H32" s="54">
        <v>0.1</v>
      </c>
      <c r="I32" s="54">
        <v>0.2</v>
      </c>
      <c r="J32" s="54">
        <v>0.28999999999999998</v>
      </c>
      <c r="K32" s="70">
        <v>0.36</v>
      </c>
      <c r="L32" s="172"/>
      <c r="M32" s="54"/>
      <c r="N32" s="70"/>
    </row>
    <row r="33" spans="1:14" s="51" customFormat="1" ht="27.75" customHeight="1">
      <c r="A33" s="170" t="s">
        <v>21</v>
      </c>
      <c r="B33" s="74" t="s">
        <v>22</v>
      </c>
      <c r="C33" s="72">
        <v>10</v>
      </c>
      <c r="D33" s="195">
        <v>0.2</v>
      </c>
      <c r="E33" s="49">
        <v>0.39</v>
      </c>
      <c r="F33" s="49">
        <v>0.87</v>
      </c>
      <c r="G33" s="49">
        <v>0.7</v>
      </c>
      <c r="H33" s="195">
        <v>0.2</v>
      </c>
      <c r="I33" s="49">
        <v>0.39</v>
      </c>
      <c r="J33" s="49">
        <v>0.87</v>
      </c>
      <c r="K33" s="49">
        <v>0.7</v>
      </c>
      <c r="L33" s="172"/>
      <c r="M33" s="54"/>
      <c r="N33" s="70"/>
    </row>
    <row r="34" spans="1:14" s="51" customFormat="1" ht="32.25" customHeight="1">
      <c r="A34" s="170" t="s">
        <v>23</v>
      </c>
      <c r="B34" s="74" t="s">
        <v>24</v>
      </c>
      <c r="C34" s="72">
        <v>10</v>
      </c>
      <c r="D34" s="194">
        <v>0</v>
      </c>
      <c r="E34" s="54">
        <v>0</v>
      </c>
      <c r="F34" s="54">
        <v>0</v>
      </c>
      <c r="G34" s="54">
        <v>0.16</v>
      </c>
      <c r="H34" s="54">
        <v>0</v>
      </c>
      <c r="I34" s="54">
        <v>0</v>
      </c>
      <c r="J34" s="54">
        <v>0</v>
      </c>
      <c r="K34" s="70">
        <v>0.16</v>
      </c>
      <c r="L34" s="172"/>
      <c r="M34" s="54"/>
      <c r="N34" s="70"/>
    </row>
    <row r="35" spans="1:14" s="51" customFormat="1" ht="18.75" customHeight="1">
      <c r="A35" s="170" t="s">
        <v>25</v>
      </c>
      <c r="B35" s="74" t="s">
        <v>26</v>
      </c>
      <c r="C35" s="72">
        <v>5</v>
      </c>
      <c r="D35" s="194">
        <v>5.8999999999999997E-2</v>
      </c>
      <c r="E35" s="54">
        <v>8.5999999999999993E-2</v>
      </c>
      <c r="F35" s="54">
        <v>0.13300000000000001</v>
      </c>
      <c r="G35" s="54">
        <v>8.9999999999999993E-3</v>
      </c>
      <c r="H35" s="54">
        <v>0.03</v>
      </c>
      <c r="I35" s="54">
        <v>0.45</v>
      </c>
      <c r="J35" s="54">
        <v>7.0999999999999994E-2</v>
      </c>
      <c r="K35" s="70">
        <v>9.5000000000000001E-2</v>
      </c>
      <c r="L35" s="172"/>
      <c r="M35" s="54"/>
      <c r="N35" s="70"/>
    </row>
    <row r="36" spans="1:14" s="51" customFormat="1" ht="18.75" customHeight="1">
      <c r="A36" s="170" t="s">
        <v>27</v>
      </c>
      <c r="B36" s="74" t="s">
        <v>28</v>
      </c>
      <c r="C36" s="72">
        <v>5</v>
      </c>
      <c r="D36" s="196">
        <v>5.0000000000000001E-3</v>
      </c>
      <c r="E36" s="59">
        <v>0.16500000000000001</v>
      </c>
      <c r="F36" s="59">
        <v>3.2000000000000001E-2</v>
      </c>
      <c r="G36" s="59">
        <v>1.0999999999999999E-2</v>
      </c>
      <c r="H36" s="196">
        <v>5.0000000000000001E-3</v>
      </c>
      <c r="I36" s="59">
        <v>0.16500000000000001</v>
      </c>
      <c r="J36" s="59">
        <v>3.2000000000000001E-2</v>
      </c>
      <c r="K36" s="59">
        <v>3.2000000000000001E-2</v>
      </c>
      <c r="L36" s="172"/>
      <c r="M36" s="54"/>
      <c r="N36" s="70"/>
    </row>
    <row r="37" spans="1:14" s="51" customFormat="1" ht="18.75" customHeight="1">
      <c r="A37" s="170" t="s">
        <v>29</v>
      </c>
      <c r="B37" s="74" t="s">
        <v>30</v>
      </c>
      <c r="C37" s="72">
        <v>5</v>
      </c>
      <c r="D37" s="194">
        <v>0.38</v>
      </c>
      <c r="E37" s="49">
        <v>2.02</v>
      </c>
      <c r="F37" s="54">
        <v>0.32</v>
      </c>
      <c r="G37" s="54">
        <v>0.06</v>
      </c>
      <c r="H37" s="194">
        <v>0.25</v>
      </c>
      <c r="I37" s="49">
        <v>1.35</v>
      </c>
      <c r="J37" s="54">
        <v>0.21</v>
      </c>
      <c r="K37" s="54">
        <v>0.18</v>
      </c>
      <c r="L37" s="172"/>
      <c r="M37" s="54"/>
      <c r="N37" s="70"/>
    </row>
    <row r="38" spans="1:14" s="51" customFormat="1" ht="18.75" customHeight="1">
      <c r="A38" s="170" t="s">
        <v>31</v>
      </c>
      <c r="B38" s="74" t="s">
        <v>32</v>
      </c>
      <c r="C38" s="72">
        <v>10</v>
      </c>
      <c r="D38" s="194">
        <v>25.5</v>
      </c>
      <c r="E38" s="54">
        <v>58.1</v>
      </c>
      <c r="F38" s="57">
        <v>18</v>
      </c>
      <c r="G38" s="57">
        <v>60</v>
      </c>
      <c r="H38" s="194">
        <v>30.6</v>
      </c>
      <c r="I38" s="54">
        <v>69.7</v>
      </c>
      <c r="J38" s="57">
        <v>22</v>
      </c>
      <c r="K38" s="57">
        <v>30.1</v>
      </c>
      <c r="L38" s="172"/>
      <c r="M38" s="54"/>
      <c r="N38" s="70"/>
    </row>
    <row r="39" spans="1:14" s="51" customFormat="1" ht="18.75" customHeight="1">
      <c r="A39" s="170" t="s">
        <v>33</v>
      </c>
      <c r="B39" s="74" t="s">
        <v>34</v>
      </c>
      <c r="C39" s="72">
        <v>10</v>
      </c>
      <c r="D39" s="194">
        <v>40.299999999999997</v>
      </c>
      <c r="E39" s="54">
        <v>9</v>
      </c>
      <c r="F39" s="54">
        <v>8.6</v>
      </c>
      <c r="G39" s="54">
        <v>7.8</v>
      </c>
      <c r="H39" s="194">
        <v>40.299999999999997</v>
      </c>
      <c r="I39" s="54">
        <v>9</v>
      </c>
      <c r="J39" s="54">
        <v>8.6</v>
      </c>
      <c r="K39" s="54">
        <v>8.1999999999999993</v>
      </c>
      <c r="L39" s="172"/>
      <c r="M39" s="54"/>
      <c r="N39" s="70"/>
    </row>
    <row r="40" spans="1:14" s="51" customFormat="1" ht="18.75" customHeight="1">
      <c r="A40" s="170" t="s">
        <v>35</v>
      </c>
      <c r="B40" s="74" t="s">
        <v>36</v>
      </c>
      <c r="C40" s="72">
        <v>5</v>
      </c>
      <c r="D40" s="194">
        <v>1.03</v>
      </c>
      <c r="E40" s="54">
        <v>1.05</v>
      </c>
      <c r="F40" s="54">
        <v>1.17</v>
      </c>
      <c r="G40" s="54">
        <v>1.01</v>
      </c>
      <c r="H40" s="194">
        <v>1.01</v>
      </c>
      <c r="I40" s="54">
        <v>1.03</v>
      </c>
      <c r="J40" s="54">
        <v>1.1499999999999999</v>
      </c>
      <c r="K40" s="54">
        <v>1.17</v>
      </c>
      <c r="L40" s="172"/>
      <c r="M40" s="54"/>
      <c r="N40" s="70"/>
    </row>
    <row r="41" spans="1:14" s="51" customFormat="1" ht="18.75" customHeight="1" thickBot="1">
      <c r="A41" s="175" t="s">
        <v>37</v>
      </c>
      <c r="B41" s="75" t="s">
        <v>38</v>
      </c>
      <c r="C41" s="73">
        <v>10</v>
      </c>
      <c r="D41" s="197">
        <v>0.59</v>
      </c>
      <c r="E41" s="71">
        <v>0.27</v>
      </c>
      <c r="F41" s="71">
        <v>0.17</v>
      </c>
      <c r="G41" s="153">
        <v>0.3</v>
      </c>
      <c r="H41" s="197">
        <v>0.59</v>
      </c>
      <c r="I41" s="71">
        <v>0.27</v>
      </c>
      <c r="J41" s="71">
        <v>0.17</v>
      </c>
      <c r="K41" s="71">
        <v>7.0000000000000007E-2</v>
      </c>
      <c r="L41" s="198"/>
      <c r="M41" s="71"/>
      <c r="N41" s="199"/>
    </row>
    <row r="42" spans="1:14" s="51" customFormat="1" ht="32.25" customHeight="1" thickBot="1">
      <c r="A42" s="349" t="s">
        <v>41</v>
      </c>
      <c r="B42" s="350"/>
      <c r="C42" s="100">
        <v>100</v>
      </c>
      <c r="D42" s="232"/>
      <c r="E42" s="232"/>
      <c r="F42" s="232"/>
      <c r="G42" s="188"/>
      <c r="H42" s="62"/>
      <c r="I42" s="62"/>
      <c r="J42" s="62"/>
      <c r="K42" s="62"/>
      <c r="L42" s="200"/>
      <c r="M42" s="201"/>
      <c r="N42" s="200"/>
    </row>
    <row r="43" spans="1:14" s="51" customFormat="1" ht="47.25" customHeight="1">
      <c r="A43" s="370" t="s">
        <v>183</v>
      </c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</row>
    <row r="44" spans="1:14" s="51" customFormat="1" ht="30.75" customHeight="1">
      <c r="A44" s="368"/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</row>
    <row r="45" spans="1:14" s="233" customFormat="1"/>
    <row r="46" spans="1:14" s="233" customFormat="1">
      <c r="A46" s="362" t="s">
        <v>3</v>
      </c>
      <c r="B46" s="362"/>
      <c r="C46" s="362"/>
      <c r="D46" s="362"/>
      <c r="E46" s="362"/>
      <c r="F46" s="362"/>
      <c r="G46" s="362"/>
      <c r="H46" s="362"/>
      <c r="I46" s="362"/>
      <c r="J46" s="362"/>
      <c r="K46" s="362"/>
      <c r="L46" s="362"/>
      <c r="M46" s="362"/>
      <c r="N46" s="362"/>
    </row>
    <row r="47" spans="1:14" s="234" customFormat="1" ht="18" customHeight="1">
      <c r="A47" s="363" t="s">
        <v>237</v>
      </c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</row>
    <row r="48" spans="1:14" s="234" customFormat="1" ht="18.75">
      <c r="A48" s="363" t="s">
        <v>5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</row>
    <row r="49" spans="1:14" s="234" customFormat="1" ht="19.5" thickBot="1">
      <c r="A49" s="235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</row>
    <row r="50" spans="1:14" s="234" customFormat="1" ht="41.25" customHeight="1" thickBot="1">
      <c r="A50" s="352" t="s">
        <v>6</v>
      </c>
      <c r="B50" s="354" t="s">
        <v>7</v>
      </c>
      <c r="C50" s="352" t="s">
        <v>180</v>
      </c>
      <c r="D50" s="357" t="s">
        <v>223</v>
      </c>
      <c r="E50" s="358"/>
      <c r="F50" s="359"/>
      <c r="G50" s="360" t="s">
        <v>283</v>
      </c>
      <c r="H50" s="364" t="s">
        <v>271</v>
      </c>
      <c r="I50" s="358"/>
      <c r="J50" s="358"/>
      <c r="K50" s="365"/>
      <c r="L50" s="352" t="s">
        <v>181</v>
      </c>
      <c r="M50" s="354" t="s">
        <v>182</v>
      </c>
      <c r="N50" s="352" t="s">
        <v>8</v>
      </c>
    </row>
    <row r="51" spans="1:14" s="234" customFormat="1" ht="50.25" customHeight="1" thickBot="1">
      <c r="A51" s="356"/>
      <c r="B51" s="355"/>
      <c r="C51" s="353"/>
      <c r="D51" s="236" t="s">
        <v>267</v>
      </c>
      <c r="E51" s="237" t="s">
        <v>268</v>
      </c>
      <c r="F51" s="238" t="s">
        <v>269</v>
      </c>
      <c r="G51" s="361"/>
      <c r="H51" s="239" t="s">
        <v>273</v>
      </c>
      <c r="I51" s="237" t="s">
        <v>274</v>
      </c>
      <c r="J51" s="237" t="s">
        <v>275</v>
      </c>
      <c r="K51" s="240" t="s">
        <v>282</v>
      </c>
      <c r="L51" s="353"/>
      <c r="M51" s="355"/>
      <c r="N51" s="353"/>
    </row>
    <row r="52" spans="1:14" s="234" customFormat="1" ht="15.75" thickBot="1">
      <c r="A52" s="241"/>
      <c r="B52" s="242" t="s">
        <v>9</v>
      </c>
      <c r="C52" s="243" t="s">
        <v>10</v>
      </c>
      <c r="D52" s="244"/>
      <c r="E52" s="245"/>
      <c r="F52" s="245"/>
      <c r="G52" s="245"/>
      <c r="H52" s="245"/>
      <c r="I52" s="245"/>
      <c r="J52" s="245"/>
      <c r="K52" s="246"/>
      <c r="L52" s="247" t="s">
        <v>12</v>
      </c>
      <c r="M52" s="248" t="s">
        <v>13</v>
      </c>
      <c r="N52" s="247" t="s">
        <v>14</v>
      </c>
    </row>
    <row r="53" spans="1:14" s="234" customFormat="1" ht="39.75" customHeight="1">
      <c r="A53" s="249" t="s">
        <v>15</v>
      </c>
      <c r="B53" s="250" t="s">
        <v>16</v>
      </c>
      <c r="C53" s="251">
        <v>10</v>
      </c>
      <c r="D53" s="252">
        <v>5872265</v>
      </c>
      <c r="E53" s="253">
        <v>2424325</v>
      </c>
      <c r="F53" s="253">
        <v>3633260</v>
      </c>
      <c r="G53" s="253">
        <v>2951195</v>
      </c>
      <c r="H53" s="253">
        <f>590036*1.05</f>
        <v>619537.80000000005</v>
      </c>
      <c r="I53" s="253">
        <f>1727390*1.05</f>
        <v>1813759.5</v>
      </c>
      <c r="J53" s="253">
        <f>2469678*1.05</f>
        <v>2593161.9</v>
      </c>
      <c r="K53" s="254">
        <v>2951195</v>
      </c>
      <c r="L53" s="255"/>
      <c r="M53" s="256"/>
      <c r="N53" s="257"/>
    </row>
    <row r="54" spans="1:14" s="234" customFormat="1" ht="26.25" customHeight="1">
      <c r="A54" s="249" t="s">
        <v>17</v>
      </c>
      <c r="B54" s="258" t="s">
        <v>18</v>
      </c>
      <c r="C54" s="259">
        <v>10</v>
      </c>
      <c r="D54" s="260">
        <v>8.4000000000000005E-2</v>
      </c>
      <c r="E54" s="261">
        <v>0.13</v>
      </c>
      <c r="F54" s="261">
        <v>0.11799999999999999</v>
      </c>
      <c r="G54" s="261">
        <v>8.2000000000000003E-2</v>
      </c>
      <c r="H54" s="261">
        <v>9.7000000000000003E-2</v>
      </c>
      <c r="I54" s="261">
        <v>8.3000000000000004E-2</v>
      </c>
      <c r="J54" s="261">
        <v>8.2000000000000003E-2</v>
      </c>
      <c r="K54" s="262">
        <v>8.2000000000000003E-2</v>
      </c>
      <c r="L54" s="263"/>
      <c r="M54" s="264"/>
      <c r="N54" s="262"/>
    </row>
    <row r="55" spans="1:14" s="234" customFormat="1" ht="32.25" customHeight="1">
      <c r="A55" s="249" t="s">
        <v>19</v>
      </c>
      <c r="B55" s="258" t="s">
        <v>20</v>
      </c>
      <c r="C55" s="259">
        <v>10</v>
      </c>
      <c r="D55" s="265">
        <v>0.26</v>
      </c>
      <c r="E55" s="264">
        <v>0.14000000000000001</v>
      </c>
      <c r="F55" s="264">
        <v>0.15</v>
      </c>
      <c r="G55" s="264">
        <v>0.08</v>
      </c>
      <c r="H55" s="264">
        <v>0.02</v>
      </c>
      <c r="I55" s="264">
        <v>0.04</v>
      </c>
      <c r="J55" s="264">
        <v>0.06</v>
      </c>
      <c r="K55" s="262">
        <v>0.08</v>
      </c>
      <c r="L55" s="263"/>
      <c r="M55" s="264"/>
      <c r="N55" s="262"/>
    </row>
    <row r="56" spans="1:14" s="234" customFormat="1" ht="27.75" customHeight="1">
      <c r="A56" s="249" t="s">
        <v>21</v>
      </c>
      <c r="B56" s="258" t="s">
        <v>22</v>
      </c>
      <c r="C56" s="259">
        <v>10</v>
      </c>
      <c r="D56" s="266">
        <v>2.48</v>
      </c>
      <c r="E56" s="267">
        <v>1.78</v>
      </c>
      <c r="F56" s="267">
        <v>1.91</v>
      </c>
      <c r="G56" s="267">
        <v>1.5</v>
      </c>
      <c r="H56" s="268">
        <v>0.18</v>
      </c>
      <c r="I56" s="267">
        <v>0.35</v>
      </c>
      <c r="J56" s="267">
        <v>0.53</v>
      </c>
      <c r="K56" s="269">
        <v>1.5</v>
      </c>
      <c r="L56" s="263"/>
      <c r="M56" s="264"/>
      <c r="N56" s="262"/>
    </row>
    <row r="57" spans="1:14" s="234" customFormat="1" ht="32.25" customHeight="1">
      <c r="A57" s="249" t="s">
        <v>23</v>
      </c>
      <c r="B57" s="258" t="s">
        <v>24</v>
      </c>
      <c r="C57" s="259">
        <v>10</v>
      </c>
      <c r="D57" s="265">
        <v>1.24</v>
      </c>
      <c r="E57" s="264">
        <v>1.24</v>
      </c>
      <c r="F57" s="264">
        <v>0</v>
      </c>
      <c r="G57" s="264">
        <v>0.16</v>
      </c>
      <c r="H57" s="264">
        <v>0</v>
      </c>
      <c r="I57" s="264">
        <v>0</v>
      </c>
      <c r="J57" s="264">
        <v>0</v>
      </c>
      <c r="K57" s="262">
        <v>0.16</v>
      </c>
      <c r="L57" s="263"/>
      <c r="M57" s="264"/>
      <c r="N57" s="262"/>
    </row>
    <row r="58" spans="1:14" s="234" customFormat="1" ht="18.75" customHeight="1">
      <c r="A58" s="249" t="s">
        <v>25</v>
      </c>
      <c r="B58" s="258" t="s">
        <v>26</v>
      </c>
      <c r="C58" s="259">
        <v>5</v>
      </c>
      <c r="D58" s="265">
        <v>0.03</v>
      </c>
      <c r="E58" s="264">
        <v>0.02</v>
      </c>
      <c r="F58" s="264">
        <v>0.03</v>
      </c>
      <c r="G58" s="264">
        <v>8.9999999999999993E-3</v>
      </c>
      <c r="H58" s="264">
        <v>3.0000000000000001E-3</v>
      </c>
      <c r="I58" s="264">
        <v>5.0000000000000001E-3</v>
      </c>
      <c r="J58" s="264">
        <v>7.0000000000000001E-3</v>
      </c>
      <c r="K58" s="262">
        <v>8.9999999999999993E-3</v>
      </c>
      <c r="L58" s="263"/>
      <c r="M58" s="264"/>
      <c r="N58" s="262"/>
    </row>
    <row r="59" spans="1:14" s="234" customFormat="1" ht="18.75" customHeight="1">
      <c r="A59" s="249" t="s">
        <v>27</v>
      </c>
      <c r="B59" s="258" t="s">
        <v>28</v>
      </c>
      <c r="C59" s="259">
        <v>5</v>
      </c>
      <c r="D59" s="270">
        <v>0.03</v>
      </c>
      <c r="E59" s="271">
        <v>0.02</v>
      </c>
      <c r="F59" s="271">
        <v>5.0000000000000001E-3</v>
      </c>
      <c r="G59" s="271">
        <v>1.0999999999999999E-2</v>
      </c>
      <c r="H59" s="271">
        <v>1.7000000000000001E-2</v>
      </c>
      <c r="I59" s="271">
        <v>1.4999999999999999E-2</v>
      </c>
      <c r="J59" s="271">
        <v>1.2999999999999999E-2</v>
      </c>
      <c r="K59" s="272">
        <v>1.0999999999999999E-2</v>
      </c>
      <c r="L59" s="263"/>
      <c r="M59" s="264"/>
      <c r="N59" s="262"/>
    </row>
    <row r="60" spans="1:14" s="234" customFormat="1" ht="18.75" customHeight="1">
      <c r="A60" s="249" t="s">
        <v>29</v>
      </c>
      <c r="B60" s="258" t="s">
        <v>30</v>
      </c>
      <c r="C60" s="259">
        <v>5</v>
      </c>
      <c r="D60" s="265">
        <v>0.13</v>
      </c>
      <c r="E60" s="267">
        <v>0.12</v>
      </c>
      <c r="F60" s="264">
        <v>0.1</v>
      </c>
      <c r="G60" s="264">
        <v>0.06</v>
      </c>
      <c r="H60" s="264">
        <v>0.12</v>
      </c>
      <c r="I60" s="267">
        <v>0.1</v>
      </c>
      <c r="J60" s="264">
        <v>0.08</v>
      </c>
      <c r="K60" s="262">
        <v>0.06</v>
      </c>
      <c r="L60" s="263"/>
      <c r="M60" s="264"/>
      <c r="N60" s="262"/>
    </row>
    <row r="61" spans="1:14" s="234" customFormat="1" ht="18.75" customHeight="1">
      <c r="A61" s="249" t="s">
        <v>31</v>
      </c>
      <c r="B61" s="258" t="s">
        <v>32</v>
      </c>
      <c r="C61" s="259">
        <v>10</v>
      </c>
      <c r="D61" s="265">
        <v>37.6</v>
      </c>
      <c r="E61" s="264">
        <v>104.3</v>
      </c>
      <c r="F61" s="268">
        <v>86</v>
      </c>
      <c r="G61" s="268">
        <v>60</v>
      </c>
      <c r="H61" s="264">
        <v>190.8</v>
      </c>
      <c r="I61" s="264">
        <v>120.3</v>
      </c>
      <c r="J61" s="268">
        <v>69</v>
      </c>
      <c r="K61" s="273">
        <v>60</v>
      </c>
      <c r="L61" s="263"/>
      <c r="M61" s="264"/>
      <c r="N61" s="262"/>
    </row>
    <row r="62" spans="1:14" s="234" customFormat="1" ht="18.75" customHeight="1">
      <c r="A62" s="249" t="s">
        <v>33</v>
      </c>
      <c r="B62" s="258" t="s">
        <v>34</v>
      </c>
      <c r="C62" s="259">
        <v>10</v>
      </c>
      <c r="D62" s="265">
        <v>15.7</v>
      </c>
      <c r="E62" s="264">
        <v>38.799999999999997</v>
      </c>
      <c r="F62" s="264">
        <v>21.7</v>
      </c>
      <c r="G62" s="264">
        <v>7.8</v>
      </c>
      <c r="H62" s="264">
        <v>75.8</v>
      </c>
      <c r="I62" s="264">
        <v>32.299999999999997</v>
      </c>
      <c r="J62" s="264">
        <v>10.4</v>
      </c>
      <c r="K62" s="262">
        <v>7.8</v>
      </c>
      <c r="L62" s="263"/>
      <c r="M62" s="264"/>
      <c r="N62" s="262"/>
    </row>
    <row r="63" spans="1:14" s="234" customFormat="1" ht="18.75" customHeight="1">
      <c r="A63" s="249" t="s">
        <v>35</v>
      </c>
      <c r="B63" s="258" t="s">
        <v>36</v>
      </c>
      <c r="C63" s="259">
        <v>5</v>
      </c>
      <c r="D63" s="265">
        <v>1</v>
      </c>
      <c r="E63" s="264">
        <v>0.95</v>
      </c>
      <c r="F63" s="264">
        <v>0.96</v>
      </c>
      <c r="G63" s="264">
        <v>1.01</v>
      </c>
      <c r="H63" s="264">
        <v>1.1200000000000001</v>
      </c>
      <c r="I63" s="264">
        <v>1.1100000000000001</v>
      </c>
      <c r="J63" s="264">
        <v>1.02</v>
      </c>
      <c r="K63" s="262">
        <v>1.01</v>
      </c>
      <c r="L63" s="263"/>
      <c r="M63" s="264"/>
      <c r="N63" s="262"/>
    </row>
    <row r="64" spans="1:14" s="234" customFormat="1" ht="18.75" customHeight="1" thickBot="1">
      <c r="A64" s="274" t="s">
        <v>37</v>
      </c>
      <c r="B64" s="275" t="s">
        <v>38</v>
      </c>
      <c r="C64" s="276">
        <v>10</v>
      </c>
      <c r="D64" s="277">
        <v>0</v>
      </c>
      <c r="E64" s="278">
        <v>0</v>
      </c>
      <c r="F64" s="278">
        <v>0</v>
      </c>
      <c r="G64" s="279">
        <v>0.3</v>
      </c>
      <c r="H64" s="278">
        <v>0.16</v>
      </c>
      <c r="I64" s="278">
        <v>0.16</v>
      </c>
      <c r="J64" s="278">
        <v>0.16</v>
      </c>
      <c r="K64" s="280">
        <v>0.3</v>
      </c>
      <c r="L64" s="281"/>
      <c r="M64" s="278"/>
      <c r="N64" s="282"/>
    </row>
    <row r="65" spans="1:14" s="234" customFormat="1" ht="32.25" customHeight="1" thickBot="1">
      <c r="A65" s="366" t="s">
        <v>41</v>
      </c>
      <c r="B65" s="367"/>
      <c r="C65" s="247">
        <v>100</v>
      </c>
      <c r="D65" s="244"/>
      <c r="E65" s="245"/>
      <c r="F65" s="245"/>
      <c r="G65" s="245"/>
      <c r="H65" s="245"/>
      <c r="I65" s="245"/>
      <c r="J65" s="245"/>
      <c r="K65" s="246"/>
      <c r="L65" s="283"/>
      <c r="M65" s="284"/>
      <c r="N65" s="283"/>
    </row>
    <row r="66" spans="1:14" s="234" customFormat="1" ht="47.25" customHeight="1">
      <c r="A66" s="351" t="s">
        <v>183</v>
      </c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  <c r="N66" s="351"/>
    </row>
    <row r="67" spans="1:14" s="233" customFormat="1"/>
  </sheetData>
  <mergeCells count="40">
    <mergeCell ref="A44:N44"/>
    <mergeCell ref="A6:A7"/>
    <mergeCell ref="B6:B7"/>
    <mergeCell ref="C6:C7"/>
    <mergeCell ref="D6:F6"/>
    <mergeCell ref="G6:G7"/>
    <mergeCell ref="H6:K6"/>
    <mergeCell ref="L6:L7"/>
    <mergeCell ref="M6:M7"/>
    <mergeCell ref="N6:N7"/>
    <mergeCell ref="A42:B42"/>
    <mergeCell ref="A43:N43"/>
    <mergeCell ref="A24:N24"/>
    <mergeCell ref="A25:N25"/>
    <mergeCell ref="A27:A28"/>
    <mergeCell ref="A46:N46"/>
    <mergeCell ref="A47:N47"/>
    <mergeCell ref="A48:N48"/>
    <mergeCell ref="H50:K50"/>
    <mergeCell ref="A65:B65"/>
    <mergeCell ref="A66:N66"/>
    <mergeCell ref="L50:L51"/>
    <mergeCell ref="M50:M51"/>
    <mergeCell ref="N50:N51"/>
    <mergeCell ref="C50:C51"/>
    <mergeCell ref="B50:B51"/>
    <mergeCell ref="A50:A51"/>
    <mergeCell ref="D50:F50"/>
    <mergeCell ref="G50:G51"/>
    <mergeCell ref="A23:N23"/>
    <mergeCell ref="A21:B21"/>
    <mergeCell ref="A22:N22"/>
    <mergeCell ref="L27:L28"/>
    <mergeCell ref="M27:M28"/>
    <mergeCell ref="N27:N28"/>
    <mergeCell ref="B27:B28"/>
    <mergeCell ref="C27:C28"/>
    <mergeCell ref="D27:F27"/>
    <mergeCell ref="G27:G28"/>
    <mergeCell ref="H27:K2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63"/>
  <sheetViews>
    <sheetView tabSelected="1" topLeftCell="A13" workbookViewId="0">
      <selection activeCell="H11" sqref="H11"/>
    </sheetView>
  </sheetViews>
  <sheetFormatPr defaultRowHeight="15"/>
  <cols>
    <col min="1" max="1" width="9.140625" style="53"/>
    <col min="2" max="2" width="44.5703125" style="53" customWidth="1"/>
    <col min="3" max="3" width="10.5703125" style="53" customWidth="1"/>
    <col min="4" max="6" width="12.28515625" style="53" bestFit="1" customWidth="1"/>
    <col min="7" max="7" width="11.85546875" style="53" bestFit="1" customWidth="1"/>
    <col min="8" max="11" width="12.28515625" style="53" bestFit="1" customWidth="1"/>
    <col min="12" max="14" width="11.5703125" style="53" customWidth="1"/>
    <col min="15" max="15" width="16" style="53" customWidth="1"/>
    <col min="16" max="16384" width="9.140625" style="53"/>
  </cols>
  <sheetData>
    <row r="1" spans="1:15">
      <c r="A1" s="347" t="s">
        <v>293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5" ht="18.75">
      <c r="A3" s="406" t="s">
        <v>335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</row>
    <row r="4" spans="1:15" ht="19.5" thickBot="1">
      <c r="A4" s="407" t="s">
        <v>295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</row>
    <row r="5" spans="1:15" ht="40.5" customHeight="1" thickBot="1">
      <c r="A5" s="429" t="s">
        <v>230</v>
      </c>
      <c r="B5" s="420" t="s">
        <v>323</v>
      </c>
      <c r="C5" s="420" t="s">
        <v>297</v>
      </c>
      <c r="D5" s="421" t="s">
        <v>223</v>
      </c>
      <c r="E5" s="422"/>
      <c r="F5" s="423"/>
      <c r="G5" s="424" t="s">
        <v>324</v>
      </c>
      <c r="H5" s="345" t="s">
        <v>325</v>
      </c>
      <c r="I5" s="422"/>
      <c r="J5" s="422"/>
      <c r="K5" s="423"/>
      <c r="L5" s="420" t="s">
        <v>326</v>
      </c>
      <c r="M5" s="420" t="s">
        <v>300</v>
      </c>
      <c r="N5" s="420" t="s">
        <v>327</v>
      </c>
      <c r="O5" s="420" t="s">
        <v>328</v>
      </c>
    </row>
    <row r="6" spans="1:15" ht="39" customHeight="1" thickBot="1">
      <c r="A6" s="430"/>
      <c r="B6" s="426"/>
      <c r="C6" s="426"/>
      <c r="D6" s="154" t="s">
        <v>329</v>
      </c>
      <c r="E6" s="155" t="s">
        <v>330</v>
      </c>
      <c r="F6" s="156" t="s">
        <v>331</v>
      </c>
      <c r="G6" s="427"/>
      <c r="H6" s="157" t="s">
        <v>329</v>
      </c>
      <c r="I6" s="155" t="s">
        <v>332</v>
      </c>
      <c r="J6" s="155" t="s">
        <v>333</v>
      </c>
      <c r="K6" s="158" t="s">
        <v>334</v>
      </c>
      <c r="L6" s="426"/>
      <c r="M6" s="426"/>
      <c r="N6" s="426"/>
      <c r="O6" s="426"/>
    </row>
    <row r="7" spans="1:15" ht="18" customHeight="1" thickBot="1">
      <c r="A7" s="100"/>
      <c r="B7" s="159" t="s">
        <v>9</v>
      </c>
      <c r="C7" s="320" t="s">
        <v>10</v>
      </c>
      <c r="D7" s="160"/>
      <c r="E7" s="160"/>
      <c r="F7" s="161"/>
      <c r="G7" s="162"/>
      <c r="H7" s="163"/>
      <c r="I7" s="160"/>
      <c r="J7" s="160"/>
      <c r="K7" s="164"/>
      <c r="L7" s="159" t="s">
        <v>11</v>
      </c>
      <c r="M7" s="317" t="s">
        <v>12</v>
      </c>
      <c r="N7" s="100" t="s">
        <v>13</v>
      </c>
      <c r="O7" s="159" t="s">
        <v>14</v>
      </c>
    </row>
    <row r="8" spans="1:15" ht="17.25" customHeight="1">
      <c r="A8" s="165" t="s">
        <v>15</v>
      </c>
      <c r="B8" s="332" t="s">
        <v>336</v>
      </c>
      <c r="C8" s="63">
        <v>20</v>
      </c>
      <c r="D8" s="63">
        <v>0.53</v>
      </c>
      <c r="E8" s="63">
        <v>0.55000000000000004</v>
      </c>
      <c r="F8" s="63">
        <v>0.56000000000000005</v>
      </c>
      <c r="G8" s="143">
        <v>0.67</v>
      </c>
      <c r="H8" s="63">
        <v>0.53</v>
      </c>
      <c r="I8" s="63">
        <v>0.55000000000000004</v>
      </c>
      <c r="J8" s="63">
        <v>0.56000000000000005</v>
      </c>
      <c r="K8" s="143">
        <v>0.67</v>
      </c>
      <c r="L8" s="285">
        <f>(H8+I8+J8+K8)/4</f>
        <v>0.57750000000000001</v>
      </c>
      <c r="M8" s="167"/>
      <c r="N8" s="168"/>
      <c r="O8" s="169"/>
    </row>
    <row r="9" spans="1:15" ht="17.25" customHeight="1">
      <c r="A9" s="170" t="s">
        <v>17</v>
      </c>
      <c r="B9" s="332" t="s">
        <v>337</v>
      </c>
      <c r="C9" s="172">
        <v>15</v>
      </c>
      <c r="D9" s="172">
        <v>0.01</v>
      </c>
      <c r="E9" s="172">
        <v>0.01</v>
      </c>
      <c r="F9" s="172">
        <v>1.4999999999999999E-2</v>
      </c>
      <c r="G9" s="144">
        <v>0.01</v>
      </c>
      <c r="H9" s="172">
        <v>0</v>
      </c>
      <c r="I9" s="172">
        <v>0.01</v>
      </c>
      <c r="J9" s="172">
        <v>1.4999999999999999E-2</v>
      </c>
      <c r="K9" s="144">
        <v>0.01</v>
      </c>
      <c r="L9" s="285">
        <f t="shared" ref="L9:L20" si="0">(H9+I9+J9+K9)/4</f>
        <v>8.7500000000000008E-3</v>
      </c>
      <c r="M9" s="54"/>
      <c r="N9" s="37"/>
      <c r="O9" s="72"/>
    </row>
    <row r="10" spans="1:15" ht="17.25" customHeight="1">
      <c r="A10" s="170" t="s">
        <v>19</v>
      </c>
      <c r="B10" s="332" t="s">
        <v>338</v>
      </c>
      <c r="C10" s="172">
        <v>15</v>
      </c>
      <c r="D10" s="172">
        <v>185243</v>
      </c>
      <c r="E10" s="172">
        <v>162789</v>
      </c>
      <c r="F10" s="172">
        <v>527760</v>
      </c>
      <c r="G10" s="144">
        <v>381500</v>
      </c>
      <c r="H10" s="172">
        <v>185243</v>
      </c>
      <c r="I10" s="172">
        <v>162789</v>
      </c>
      <c r="J10" s="172">
        <v>527760</v>
      </c>
      <c r="K10" s="144">
        <v>381500</v>
      </c>
      <c r="L10" s="286">
        <f t="shared" si="0"/>
        <v>314323</v>
      </c>
      <c r="M10" s="54"/>
      <c r="N10" s="37"/>
      <c r="O10" s="72"/>
    </row>
    <row r="11" spans="1:15" ht="17.25" customHeight="1">
      <c r="A11" s="170" t="s">
        <v>21</v>
      </c>
      <c r="B11" s="332" t="s">
        <v>339</v>
      </c>
      <c r="C11" s="172">
        <v>15</v>
      </c>
      <c r="D11" s="172">
        <v>2.6</v>
      </c>
      <c r="E11" s="172">
        <v>4.3</v>
      </c>
      <c r="F11" s="172">
        <v>7.9</v>
      </c>
      <c r="G11" s="144">
        <v>9.8000000000000007</v>
      </c>
      <c r="H11" s="172">
        <v>2.6</v>
      </c>
      <c r="I11" s="172">
        <v>4.3</v>
      </c>
      <c r="J11" s="172">
        <v>7.9</v>
      </c>
      <c r="K11" s="144">
        <v>9.8000000000000007</v>
      </c>
      <c r="L11" s="285">
        <f t="shared" si="0"/>
        <v>6.15</v>
      </c>
      <c r="M11" s="54"/>
      <c r="N11" s="37"/>
      <c r="O11" s="72"/>
    </row>
    <row r="12" spans="1:15" ht="27.75" customHeight="1">
      <c r="A12" s="170" t="s">
        <v>23</v>
      </c>
      <c r="B12" s="332" t="s">
        <v>340</v>
      </c>
      <c r="C12" s="172">
        <v>15</v>
      </c>
      <c r="D12" s="173">
        <v>0.88</v>
      </c>
      <c r="E12" s="173">
        <v>0.86</v>
      </c>
      <c r="F12" s="173">
        <v>0.88</v>
      </c>
      <c r="G12" s="145">
        <v>0.86</v>
      </c>
      <c r="H12" s="173">
        <v>0.88</v>
      </c>
      <c r="I12" s="173">
        <v>0.86</v>
      </c>
      <c r="J12" s="173">
        <v>0.88</v>
      </c>
      <c r="K12" s="145">
        <v>0.86</v>
      </c>
      <c r="L12" s="285">
        <f t="shared" si="0"/>
        <v>0.87</v>
      </c>
      <c r="M12" s="54"/>
      <c r="N12" s="37"/>
      <c r="O12" s="72"/>
    </row>
    <row r="13" spans="1:15" ht="27.75" customHeight="1">
      <c r="A13" s="170" t="s">
        <v>25</v>
      </c>
      <c r="B13" s="332" t="s">
        <v>341</v>
      </c>
      <c r="C13" s="172">
        <v>5</v>
      </c>
      <c r="D13" s="172">
        <v>0.03</v>
      </c>
      <c r="E13" s="172">
        <v>0.03</v>
      </c>
      <c r="F13" s="172">
        <v>0.03</v>
      </c>
      <c r="G13" s="144">
        <v>0.03</v>
      </c>
      <c r="H13" s="172">
        <v>0.03</v>
      </c>
      <c r="I13" s="172">
        <v>0.03</v>
      </c>
      <c r="J13" s="172">
        <v>0.03</v>
      </c>
      <c r="K13" s="144">
        <v>0.03</v>
      </c>
      <c r="L13" s="285">
        <f t="shared" si="0"/>
        <v>0.03</v>
      </c>
      <c r="M13" s="54"/>
      <c r="N13" s="37"/>
      <c r="O13" s="72"/>
    </row>
    <row r="14" spans="1:15" ht="27.75" customHeight="1">
      <c r="A14" s="170" t="s">
        <v>27</v>
      </c>
      <c r="B14" s="332" t="s">
        <v>342</v>
      </c>
      <c r="C14" s="172">
        <v>0</v>
      </c>
      <c r="D14" s="172">
        <v>0</v>
      </c>
      <c r="E14" s="172">
        <v>0</v>
      </c>
      <c r="F14" s="172">
        <v>0</v>
      </c>
      <c r="G14" s="144">
        <v>0</v>
      </c>
      <c r="H14" s="172">
        <v>0</v>
      </c>
      <c r="I14" s="172">
        <v>0</v>
      </c>
      <c r="J14" s="172">
        <v>0</v>
      </c>
      <c r="K14" s="144">
        <v>0</v>
      </c>
      <c r="L14" s="285">
        <f t="shared" si="0"/>
        <v>0</v>
      </c>
      <c r="M14" s="54"/>
      <c r="N14" s="37"/>
      <c r="O14" s="72"/>
    </row>
    <row r="15" spans="1:15" ht="27.75" customHeight="1">
      <c r="A15" s="170" t="s">
        <v>29</v>
      </c>
      <c r="B15" s="332" t="s">
        <v>343</v>
      </c>
      <c r="C15" s="172">
        <v>0</v>
      </c>
      <c r="D15" s="172">
        <v>0</v>
      </c>
      <c r="E15" s="172">
        <v>0</v>
      </c>
      <c r="F15" s="172">
        <v>0</v>
      </c>
      <c r="G15" s="144">
        <v>0</v>
      </c>
      <c r="H15" s="172">
        <v>0</v>
      </c>
      <c r="I15" s="172">
        <v>0</v>
      </c>
      <c r="J15" s="172">
        <v>0</v>
      </c>
      <c r="K15" s="144">
        <v>0</v>
      </c>
      <c r="L15" s="285">
        <f t="shared" si="0"/>
        <v>0</v>
      </c>
      <c r="M15" s="54"/>
      <c r="N15" s="37"/>
      <c r="O15" s="72"/>
    </row>
    <row r="16" spans="1:15" ht="27.75" customHeight="1">
      <c r="A16" s="170" t="s">
        <v>31</v>
      </c>
      <c r="B16" s="332" t="s">
        <v>344</v>
      </c>
      <c r="C16" s="172">
        <v>10</v>
      </c>
      <c r="D16" s="174">
        <v>14</v>
      </c>
      <c r="E16" s="172">
        <v>25.8</v>
      </c>
      <c r="F16" s="174">
        <v>28.9</v>
      </c>
      <c r="G16" s="144">
        <v>40</v>
      </c>
      <c r="H16" s="174">
        <v>14</v>
      </c>
      <c r="I16" s="172">
        <v>25.8</v>
      </c>
      <c r="J16" s="174">
        <v>28.9</v>
      </c>
      <c r="K16" s="144">
        <v>40</v>
      </c>
      <c r="L16" s="285">
        <f t="shared" si="0"/>
        <v>27.174999999999997</v>
      </c>
      <c r="M16" s="54"/>
      <c r="N16" s="37"/>
      <c r="O16" s="72"/>
    </row>
    <row r="17" spans="1:15" ht="17.25" customHeight="1">
      <c r="A17" s="170" t="s">
        <v>33</v>
      </c>
      <c r="B17" s="332" t="s">
        <v>345</v>
      </c>
      <c r="C17" s="172">
        <v>5</v>
      </c>
      <c r="D17" s="172">
        <v>1.0900000000000001</v>
      </c>
      <c r="E17" s="172">
        <v>1.0900000000000001</v>
      </c>
      <c r="F17" s="172">
        <v>1.0900000000000001</v>
      </c>
      <c r="G17" s="144">
        <v>1.0900000000000001</v>
      </c>
      <c r="H17" s="172">
        <v>1.0900000000000001</v>
      </c>
      <c r="I17" s="172">
        <v>1.0900000000000001</v>
      </c>
      <c r="J17" s="172">
        <v>1.0900000000000001</v>
      </c>
      <c r="K17" s="144">
        <v>1.0900000000000001</v>
      </c>
      <c r="L17" s="285">
        <f t="shared" si="0"/>
        <v>1.0900000000000001</v>
      </c>
      <c r="M17" s="54"/>
      <c r="N17" s="37"/>
      <c r="O17" s="72"/>
    </row>
    <row r="18" spans="1:15" ht="29.25" customHeight="1">
      <c r="A18" s="170" t="s">
        <v>35</v>
      </c>
      <c r="B18" s="332" t="s">
        <v>346</v>
      </c>
      <c r="C18" s="172">
        <v>0</v>
      </c>
      <c r="D18" s="172"/>
      <c r="E18" s="172"/>
      <c r="F18" s="172"/>
      <c r="G18" s="144"/>
      <c r="H18" s="172"/>
      <c r="I18" s="172"/>
      <c r="J18" s="172"/>
      <c r="K18" s="144"/>
      <c r="L18" s="285">
        <f t="shared" si="0"/>
        <v>0</v>
      </c>
      <c r="M18" s="54"/>
      <c r="N18" s="37"/>
      <c r="O18" s="72"/>
    </row>
    <row r="19" spans="1:15" ht="29.25" customHeight="1">
      <c r="A19" s="170" t="s">
        <v>37</v>
      </c>
      <c r="B19" s="332" t="s">
        <v>347</v>
      </c>
      <c r="C19" s="172">
        <v>0</v>
      </c>
      <c r="D19" s="172"/>
      <c r="E19" s="172"/>
      <c r="F19" s="172"/>
      <c r="G19" s="144"/>
      <c r="H19" s="172"/>
      <c r="I19" s="172"/>
      <c r="J19" s="172"/>
      <c r="K19" s="144"/>
      <c r="L19" s="285">
        <f t="shared" si="0"/>
        <v>0</v>
      </c>
      <c r="M19" s="54"/>
      <c r="N19" s="37"/>
      <c r="O19" s="72"/>
    </row>
    <row r="20" spans="1:15" ht="29.25" customHeight="1" thickBot="1">
      <c r="A20" s="175" t="s">
        <v>39</v>
      </c>
      <c r="B20" s="332" t="s">
        <v>348</v>
      </c>
      <c r="C20" s="177">
        <v>0</v>
      </c>
      <c r="D20" s="177">
        <v>0</v>
      </c>
      <c r="E20" s="177">
        <v>0</v>
      </c>
      <c r="F20" s="177">
        <v>0</v>
      </c>
      <c r="G20" s="178">
        <v>0</v>
      </c>
      <c r="H20" s="177">
        <v>0</v>
      </c>
      <c r="I20" s="177">
        <v>0</v>
      </c>
      <c r="J20" s="177">
        <v>0</v>
      </c>
      <c r="K20" s="178">
        <v>0</v>
      </c>
      <c r="L20" s="285">
        <f t="shared" si="0"/>
        <v>0</v>
      </c>
      <c r="M20" s="179"/>
      <c r="N20" s="180"/>
      <c r="O20" s="73"/>
    </row>
    <row r="21" spans="1:15" ht="22.5" customHeight="1" thickBot="1">
      <c r="A21" s="373" t="s">
        <v>349</v>
      </c>
      <c r="B21" s="374"/>
      <c r="C21" s="322">
        <v>100</v>
      </c>
      <c r="D21" s="322"/>
      <c r="E21" s="322"/>
      <c r="F21" s="181"/>
      <c r="G21" s="100"/>
      <c r="H21" s="321"/>
      <c r="I21" s="322"/>
      <c r="J21" s="322"/>
      <c r="K21" s="182"/>
      <c r="L21" s="183"/>
      <c r="M21" s="148"/>
      <c r="N21" s="184"/>
      <c r="O21" s="185"/>
    </row>
    <row r="22" spans="1:15">
      <c r="A22" s="347" t="s">
        <v>42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</row>
    <row r="23" spans="1:15">
      <c r="A23" s="347" t="s">
        <v>3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</row>
    <row r="24" spans="1:15" ht="18.75">
      <c r="A24" s="406" t="s">
        <v>236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</row>
    <row r="25" spans="1:15" ht="19.5" thickBot="1">
      <c r="A25" s="407" t="s">
        <v>184</v>
      </c>
      <c r="B25" s="407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</row>
    <row r="26" spans="1:15" ht="40.5" customHeight="1" thickBot="1">
      <c r="A26" s="408" t="s">
        <v>230</v>
      </c>
      <c r="B26" s="336" t="s">
        <v>7</v>
      </c>
      <c r="C26" s="338" t="s">
        <v>180</v>
      </c>
      <c r="D26" s="340" t="s">
        <v>223</v>
      </c>
      <c r="E26" s="341"/>
      <c r="F26" s="342"/>
      <c r="G26" s="343" t="s">
        <v>276</v>
      </c>
      <c r="H26" s="345" t="s">
        <v>281</v>
      </c>
      <c r="I26" s="341"/>
      <c r="J26" s="341"/>
      <c r="K26" s="346"/>
      <c r="L26" s="410" t="s">
        <v>217</v>
      </c>
      <c r="M26" s="338" t="s">
        <v>181</v>
      </c>
      <c r="N26" s="336" t="s">
        <v>182</v>
      </c>
      <c r="O26" s="410" t="s">
        <v>8</v>
      </c>
    </row>
    <row r="27" spans="1:15" ht="39" customHeight="1" thickBot="1">
      <c r="A27" s="409"/>
      <c r="B27" s="337"/>
      <c r="C27" s="339"/>
      <c r="D27" s="154" t="s">
        <v>273</v>
      </c>
      <c r="E27" s="155" t="s">
        <v>274</v>
      </c>
      <c r="F27" s="156" t="s">
        <v>275</v>
      </c>
      <c r="G27" s="344"/>
      <c r="H27" s="157" t="s">
        <v>277</v>
      </c>
      <c r="I27" s="155" t="s">
        <v>278</v>
      </c>
      <c r="J27" s="155" t="s">
        <v>279</v>
      </c>
      <c r="K27" s="158" t="s">
        <v>280</v>
      </c>
      <c r="L27" s="411"/>
      <c r="M27" s="339"/>
      <c r="N27" s="337"/>
      <c r="O27" s="411"/>
    </row>
    <row r="28" spans="1:15" ht="18" customHeight="1" thickBot="1">
      <c r="A28" s="100"/>
      <c r="B28" s="159" t="s">
        <v>9</v>
      </c>
      <c r="C28" s="228" t="s">
        <v>10</v>
      </c>
      <c r="D28" s="160"/>
      <c r="E28" s="160"/>
      <c r="F28" s="161"/>
      <c r="G28" s="162"/>
      <c r="H28" s="163"/>
      <c r="I28" s="160"/>
      <c r="J28" s="160"/>
      <c r="K28" s="164"/>
      <c r="L28" s="159" t="s">
        <v>11</v>
      </c>
      <c r="M28" s="226" t="s">
        <v>12</v>
      </c>
      <c r="N28" s="100" t="s">
        <v>13</v>
      </c>
      <c r="O28" s="159" t="s">
        <v>14</v>
      </c>
    </row>
    <row r="29" spans="1:15" ht="17.25" customHeight="1">
      <c r="A29" s="165" t="s">
        <v>15</v>
      </c>
      <c r="B29" s="166" t="s">
        <v>43</v>
      </c>
      <c r="C29" s="63">
        <v>20</v>
      </c>
      <c r="D29" s="63">
        <v>0.56000000000000005</v>
      </c>
      <c r="E29" s="63">
        <v>0.55000000000000004</v>
      </c>
      <c r="F29" s="63">
        <v>0.56999999999999995</v>
      </c>
      <c r="G29" s="143">
        <v>0.67</v>
      </c>
      <c r="H29" s="63">
        <v>0.56000000000000005</v>
      </c>
      <c r="I29" s="63">
        <v>0.55000000000000004</v>
      </c>
      <c r="J29" s="63">
        <v>0.56999999999999995</v>
      </c>
      <c r="K29" s="143">
        <v>0.67</v>
      </c>
      <c r="L29" s="285">
        <f>(H29+I29+J29+K29)/4</f>
        <v>0.58750000000000002</v>
      </c>
      <c r="M29" s="167"/>
      <c r="N29" s="168"/>
      <c r="O29" s="169"/>
    </row>
    <row r="30" spans="1:15" ht="17.25" customHeight="1">
      <c r="A30" s="170" t="s">
        <v>17</v>
      </c>
      <c r="B30" s="171" t="s">
        <v>44</v>
      </c>
      <c r="C30" s="172">
        <v>15</v>
      </c>
      <c r="D30" s="172">
        <v>0.12</v>
      </c>
      <c r="E30" s="172">
        <v>0.01</v>
      </c>
      <c r="F30" s="172">
        <v>0.01</v>
      </c>
      <c r="G30" s="144">
        <v>0.04</v>
      </c>
      <c r="H30" s="172">
        <v>0.12</v>
      </c>
      <c r="I30" s="172">
        <v>0.01</v>
      </c>
      <c r="J30" s="172">
        <v>0.01</v>
      </c>
      <c r="K30" s="172">
        <v>0.01</v>
      </c>
      <c r="L30" s="285">
        <f t="shared" ref="L30:L41" si="1">(H30+I30+J30+K30)/4</f>
        <v>3.7500000000000006E-2</v>
      </c>
      <c r="M30" s="54"/>
      <c r="N30" s="37"/>
      <c r="O30" s="72"/>
    </row>
    <row r="31" spans="1:15" ht="17.25" customHeight="1">
      <c r="A31" s="170" t="s">
        <v>19</v>
      </c>
      <c r="B31" s="171" t="s">
        <v>45</v>
      </c>
      <c r="C31" s="172">
        <v>15</v>
      </c>
      <c r="D31" s="172">
        <v>75572</v>
      </c>
      <c r="E31" s="172">
        <v>162789</v>
      </c>
      <c r="F31" s="172">
        <v>321617</v>
      </c>
      <c r="G31" s="144">
        <v>155805</v>
      </c>
      <c r="H31" s="172">
        <v>75572</v>
      </c>
      <c r="I31" s="172">
        <v>162789</v>
      </c>
      <c r="J31" s="172">
        <v>321617</v>
      </c>
      <c r="K31" s="172">
        <v>381500</v>
      </c>
      <c r="L31" s="286">
        <f t="shared" si="1"/>
        <v>235369.5</v>
      </c>
      <c r="M31" s="54"/>
      <c r="N31" s="37"/>
      <c r="O31" s="72"/>
    </row>
    <row r="32" spans="1:15" ht="17.25" customHeight="1">
      <c r="A32" s="170" t="s">
        <v>21</v>
      </c>
      <c r="B32" s="171" t="s">
        <v>46</v>
      </c>
      <c r="C32" s="172">
        <v>15</v>
      </c>
      <c r="D32" s="172">
        <v>2.2000000000000002</v>
      </c>
      <c r="E32" s="172">
        <v>4.3</v>
      </c>
      <c r="F32" s="172">
        <v>8.6999999999999993</v>
      </c>
      <c r="G32" s="144">
        <v>7.3</v>
      </c>
      <c r="H32" s="172">
        <v>2.2000000000000002</v>
      </c>
      <c r="I32" s="172">
        <v>4.3</v>
      </c>
      <c r="J32" s="172">
        <v>8.6999999999999993</v>
      </c>
      <c r="K32" s="144">
        <v>9.8000000000000007</v>
      </c>
      <c r="L32" s="285">
        <f t="shared" si="1"/>
        <v>6.25</v>
      </c>
      <c r="M32" s="54"/>
      <c r="N32" s="37"/>
      <c r="O32" s="72"/>
    </row>
    <row r="33" spans="1:15" ht="27.75" customHeight="1">
      <c r="A33" s="170" t="s">
        <v>23</v>
      </c>
      <c r="B33" s="171" t="s">
        <v>47</v>
      </c>
      <c r="C33" s="172">
        <v>15</v>
      </c>
      <c r="D33" s="173">
        <v>0.86</v>
      </c>
      <c r="E33" s="173">
        <v>0.86</v>
      </c>
      <c r="F33" s="173">
        <v>0.96</v>
      </c>
      <c r="G33" s="145">
        <v>0.7</v>
      </c>
      <c r="H33" s="173">
        <v>0.86</v>
      </c>
      <c r="I33" s="173">
        <v>0.86</v>
      </c>
      <c r="J33" s="173">
        <v>0.86</v>
      </c>
      <c r="K33" s="173">
        <v>0.86</v>
      </c>
      <c r="L33" s="285">
        <f t="shared" si="1"/>
        <v>0.86</v>
      </c>
      <c r="M33" s="54"/>
      <c r="N33" s="37"/>
      <c r="O33" s="72"/>
    </row>
    <row r="34" spans="1:15" ht="27.75" customHeight="1">
      <c r="A34" s="170" t="s">
        <v>25</v>
      </c>
      <c r="B34" s="171" t="s">
        <v>48</v>
      </c>
      <c r="C34" s="172">
        <v>5</v>
      </c>
      <c r="D34" s="172">
        <v>0.03</v>
      </c>
      <c r="E34" s="172">
        <v>0.03</v>
      </c>
      <c r="F34" s="172">
        <v>0.03</v>
      </c>
      <c r="G34" s="144">
        <v>0.04</v>
      </c>
      <c r="H34" s="172">
        <v>0.03</v>
      </c>
      <c r="I34" s="172">
        <v>0.03</v>
      </c>
      <c r="J34" s="172">
        <v>0.03</v>
      </c>
      <c r="K34" s="144">
        <v>0.03</v>
      </c>
      <c r="L34" s="285">
        <f t="shared" si="1"/>
        <v>0.03</v>
      </c>
      <c r="M34" s="54"/>
      <c r="N34" s="37"/>
      <c r="O34" s="72"/>
    </row>
    <row r="35" spans="1:15" ht="27.75" customHeight="1">
      <c r="A35" s="170" t="s">
        <v>27</v>
      </c>
      <c r="B35" s="171" t="s">
        <v>49</v>
      </c>
      <c r="C35" s="172">
        <v>0</v>
      </c>
      <c r="D35" s="172">
        <v>0</v>
      </c>
      <c r="E35" s="172">
        <v>0</v>
      </c>
      <c r="F35" s="172">
        <v>0</v>
      </c>
      <c r="G35" s="144">
        <v>0</v>
      </c>
      <c r="H35" s="172">
        <v>0</v>
      </c>
      <c r="I35" s="172">
        <v>0</v>
      </c>
      <c r="J35" s="172">
        <v>0</v>
      </c>
      <c r="K35" s="144">
        <v>0</v>
      </c>
      <c r="L35" s="285">
        <f t="shared" si="1"/>
        <v>0</v>
      </c>
      <c r="M35" s="54"/>
      <c r="N35" s="37"/>
      <c r="O35" s="72"/>
    </row>
    <row r="36" spans="1:15" ht="27.75" customHeight="1">
      <c r="A36" s="170" t="s">
        <v>29</v>
      </c>
      <c r="B36" s="171" t="s">
        <v>50</v>
      </c>
      <c r="C36" s="172">
        <v>0</v>
      </c>
      <c r="D36" s="172">
        <v>0</v>
      </c>
      <c r="E36" s="172">
        <v>0</v>
      </c>
      <c r="F36" s="172">
        <v>0</v>
      </c>
      <c r="G36" s="144">
        <v>0</v>
      </c>
      <c r="H36" s="172">
        <v>0</v>
      </c>
      <c r="I36" s="172">
        <v>0</v>
      </c>
      <c r="J36" s="172">
        <v>0</v>
      </c>
      <c r="K36" s="144">
        <v>0</v>
      </c>
      <c r="L36" s="285">
        <f t="shared" si="1"/>
        <v>0</v>
      </c>
      <c r="M36" s="54"/>
      <c r="N36" s="37"/>
      <c r="O36" s="72"/>
    </row>
    <row r="37" spans="1:15" ht="27.75" customHeight="1">
      <c r="A37" s="170" t="s">
        <v>31</v>
      </c>
      <c r="B37" s="171" t="s">
        <v>51</v>
      </c>
      <c r="C37" s="172">
        <v>10</v>
      </c>
      <c r="D37" s="174">
        <v>8.4</v>
      </c>
      <c r="E37" s="172">
        <v>25.8</v>
      </c>
      <c r="F37" s="174">
        <v>34</v>
      </c>
      <c r="G37" s="144">
        <v>19.8</v>
      </c>
      <c r="H37" s="174">
        <v>8.4</v>
      </c>
      <c r="I37" s="172">
        <v>25.8</v>
      </c>
      <c r="J37" s="174">
        <v>34</v>
      </c>
      <c r="K37" s="144">
        <v>40</v>
      </c>
      <c r="L37" s="285">
        <f t="shared" si="1"/>
        <v>27.05</v>
      </c>
      <c r="M37" s="54"/>
      <c r="N37" s="37"/>
      <c r="O37" s="72"/>
    </row>
    <row r="38" spans="1:15" ht="17.25" customHeight="1">
      <c r="A38" s="170" t="s">
        <v>33</v>
      </c>
      <c r="B38" s="171" t="s">
        <v>52</v>
      </c>
      <c r="C38" s="172">
        <v>5</v>
      </c>
      <c r="D38" s="172">
        <v>1.0900000000000001</v>
      </c>
      <c r="E38" s="172">
        <v>1.0900000000000001</v>
      </c>
      <c r="F38" s="172">
        <v>1.0900000000000001</v>
      </c>
      <c r="G38" s="144">
        <v>1.05</v>
      </c>
      <c r="H38" s="172">
        <v>1.0900000000000001</v>
      </c>
      <c r="I38" s="172">
        <v>1.0900000000000001</v>
      </c>
      <c r="J38" s="172">
        <v>1.0900000000000001</v>
      </c>
      <c r="K38" s="144">
        <v>1.0900000000000001</v>
      </c>
      <c r="L38" s="285">
        <f t="shared" si="1"/>
        <v>1.0900000000000001</v>
      </c>
      <c r="M38" s="54"/>
      <c r="N38" s="37"/>
      <c r="O38" s="72"/>
    </row>
    <row r="39" spans="1:15" ht="29.25" customHeight="1">
      <c r="A39" s="170" t="s">
        <v>35</v>
      </c>
      <c r="B39" s="171" t="s">
        <v>53</v>
      </c>
      <c r="C39" s="172">
        <v>0</v>
      </c>
      <c r="D39" s="172"/>
      <c r="E39" s="172"/>
      <c r="F39" s="172"/>
      <c r="G39" s="144"/>
      <c r="H39" s="172"/>
      <c r="I39" s="172"/>
      <c r="J39" s="172"/>
      <c r="K39" s="144"/>
      <c r="L39" s="285">
        <f t="shared" si="1"/>
        <v>0</v>
      </c>
      <c r="M39" s="54"/>
      <c r="N39" s="37"/>
      <c r="O39" s="72"/>
    </row>
    <row r="40" spans="1:15" ht="29.25" customHeight="1">
      <c r="A40" s="170" t="s">
        <v>37</v>
      </c>
      <c r="B40" s="171" t="s">
        <v>54</v>
      </c>
      <c r="C40" s="172">
        <v>0</v>
      </c>
      <c r="D40" s="172"/>
      <c r="E40" s="172"/>
      <c r="F40" s="172"/>
      <c r="G40" s="144"/>
      <c r="H40" s="172"/>
      <c r="I40" s="172"/>
      <c r="J40" s="172"/>
      <c r="K40" s="144"/>
      <c r="L40" s="285">
        <f t="shared" si="1"/>
        <v>0</v>
      </c>
      <c r="M40" s="54"/>
      <c r="N40" s="37"/>
      <c r="O40" s="72"/>
    </row>
    <row r="41" spans="1:15" ht="29.25" customHeight="1" thickBot="1">
      <c r="A41" s="175" t="s">
        <v>39</v>
      </c>
      <c r="B41" s="176" t="s">
        <v>55</v>
      </c>
      <c r="C41" s="177">
        <v>0</v>
      </c>
      <c r="D41" s="177">
        <v>0</v>
      </c>
      <c r="E41" s="177">
        <v>0</v>
      </c>
      <c r="F41" s="177">
        <v>0</v>
      </c>
      <c r="G41" s="178">
        <v>0</v>
      </c>
      <c r="H41" s="177">
        <v>0</v>
      </c>
      <c r="I41" s="177">
        <v>0</v>
      </c>
      <c r="J41" s="177">
        <v>0</v>
      </c>
      <c r="K41" s="178">
        <v>0</v>
      </c>
      <c r="L41" s="285">
        <f t="shared" si="1"/>
        <v>0</v>
      </c>
      <c r="M41" s="179"/>
      <c r="N41" s="180"/>
      <c r="O41" s="73"/>
    </row>
    <row r="42" spans="1:15" ht="22.5" customHeight="1" thickBot="1">
      <c r="A42" s="404" t="s">
        <v>56</v>
      </c>
      <c r="B42" s="405"/>
      <c r="C42" s="231">
        <v>100</v>
      </c>
      <c r="D42" s="231"/>
      <c r="E42" s="231"/>
      <c r="F42" s="181"/>
      <c r="G42" s="100"/>
      <c r="H42" s="229"/>
      <c r="I42" s="231"/>
      <c r="J42" s="231"/>
      <c r="K42" s="182"/>
      <c r="L42" s="183"/>
      <c r="M42" s="148"/>
      <c r="N42" s="184"/>
      <c r="O42" s="185"/>
    </row>
    <row r="43" spans="1:15" s="233" customFormat="1">
      <c r="A43" s="362" t="s">
        <v>42</v>
      </c>
      <c r="B43" s="362"/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</row>
    <row r="44" spans="1:15" s="233" customFormat="1">
      <c r="A44" s="362" t="s">
        <v>3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</row>
    <row r="45" spans="1:15" s="233" customFormat="1" ht="18.75">
      <c r="A45" s="412" t="s">
        <v>236</v>
      </c>
      <c r="B45" s="412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</row>
    <row r="46" spans="1:15" s="233" customFormat="1" ht="19.5" thickBot="1">
      <c r="A46" s="413" t="s">
        <v>184</v>
      </c>
      <c r="B46" s="413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</row>
    <row r="47" spans="1:15" s="233" customFormat="1" ht="40.5" customHeight="1" thickBot="1">
      <c r="A47" s="416" t="s">
        <v>230</v>
      </c>
      <c r="B47" s="352" t="s">
        <v>7</v>
      </c>
      <c r="C47" s="354" t="s">
        <v>180</v>
      </c>
      <c r="D47" s="357" t="s">
        <v>223</v>
      </c>
      <c r="E47" s="358"/>
      <c r="F47" s="359"/>
      <c r="G47" s="360" t="s">
        <v>283</v>
      </c>
      <c r="H47" s="364" t="s">
        <v>271</v>
      </c>
      <c r="I47" s="358"/>
      <c r="J47" s="358"/>
      <c r="K47" s="365"/>
      <c r="L47" s="418" t="s">
        <v>217</v>
      </c>
      <c r="M47" s="354" t="s">
        <v>181</v>
      </c>
      <c r="N47" s="352" t="s">
        <v>182</v>
      </c>
      <c r="O47" s="418" t="s">
        <v>8</v>
      </c>
    </row>
    <row r="48" spans="1:15" s="233" customFormat="1" ht="39" customHeight="1" thickBot="1">
      <c r="A48" s="417"/>
      <c r="B48" s="353"/>
      <c r="C48" s="355"/>
      <c r="D48" s="236" t="s">
        <v>267</v>
      </c>
      <c r="E48" s="237" t="s">
        <v>268</v>
      </c>
      <c r="F48" s="238" t="s">
        <v>269</v>
      </c>
      <c r="G48" s="361"/>
      <c r="H48" s="239" t="s">
        <v>273</v>
      </c>
      <c r="I48" s="237" t="s">
        <v>274</v>
      </c>
      <c r="J48" s="237" t="s">
        <v>275</v>
      </c>
      <c r="K48" s="240" t="s">
        <v>282</v>
      </c>
      <c r="L48" s="419"/>
      <c r="M48" s="355"/>
      <c r="N48" s="353"/>
      <c r="O48" s="419"/>
    </row>
    <row r="49" spans="1:15" s="233" customFormat="1" ht="18" customHeight="1" thickBot="1">
      <c r="A49" s="247"/>
      <c r="B49" s="287" t="s">
        <v>9</v>
      </c>
      <c r="C49" s="288" t="s">
        <v>10</v>
      </c>
      <c r="D49" s="289"/>
      <c r="E49" s="289"/>
      <c r="F49" s="290"/>
      <c r="G49" s="291"/>
      <c r="H49" s="292"/>
      <c r="I49" s="289"/>
      <c r="J49" s="289"/>
      <c r="K49" s="293"/>
      <c r="L49" s="287" t="s">
        <v>11</v>
      </c>
      <c r="M49" s="248" t="s">
        <v>12</v>
      </c>
      <c r="N49" s="247" t="s">
        <v>13</v>
      </c>
      <c r="O49" s="287" t="s">
        <v>14</v>
      </c>
    </row>
    <row r="50" spans="1:15" s="233" customFormat="1" ht="17.25" customHeight="1">
      <c r="A50" s="294" t="s">
        <v>15</v>
      </c>
      <c r="B50" s="295" t="s">
        <v>43</v>
      </c>
      <c r="C50" s="255">
        <v>20</v>
      </c>
      <c r="D50" s="255">
        <v>0.67</v>
      </c>
      <c r="E50" s="255">
        <v>0.71</v>
      </c>
      <c r="F50" s="255">
        <v>0.44</v>
      </c>
      <c r="G50" s="296">
        <v>0.67</v>
      </c>
      <c r="H50" s="255">
        <v>0.61</v>
      </c>
      <c r="I50" s="255">
        <v>0.63</v>
      </c>
      <c r="J50" s="255">
        <v>0.65</v>
      </c>
      <c r="K50" s="296">
        <v>0.67</v>
      </c>
      <c r="L50" s="255">
        <v>0.65</v>
      </c>
      <c r="M50" s="256"/>
      <c r="N50" s="297"/>
      <c r="O50" s="251"/>
    </row>
    <row r="51" spans="1:15" s="233" customFormat="1" ht="17.25" customHeight="1">
      <c r="A51" s="249" t="s">
        <v>17</v>
      </c>
      <c r="B51" s="298" t="s">
        <v>44</v>
      </c>
      <c r="C51" s="263">
        <v>15</v>
      </c>
      <c r="D51" s="263">
        <v>4.0000000000000001E-3</v>
      </c>
      <c r="E51" s="263">
        <v>0.28849999999999998</v>
      </c>
      <c r="F51" s="263">
        <v>2E-3</v>
      </c>
      <c r="G51" s="299">
        <v>0.7</v>
      </c>
      <c r="H51" s="263">
        <v>0.04</v>
      </c>
      <c r="I51" s="263">
        <v>6.0000000000000001E-3</v>
      </c>
      <c r="J51" s="263">
        <v>0.03</v>
      </c>
      <c r="K51" s="300">
        <v>0.04</v>
      </c>
      <c r="L51" s="263">
        <v>3.0000000000000001E-3</v>
      </c>
      <c r="M51" s="264"/>
      <c r="N51" s="261"/>
      <c r="O51" s="259"/>
    </row>
    <row r="52" spans="1:15" s="233" customFormat="1" ht="17.25" customHeight="1">
      <c r="A52" s="249" t="s">
        <v>19</v>
      </c>
      <c r="B52" s="298" t="s">
        <v>45</v>
      </c>
      <c r="C52" s="263">
        <v>15</v>
      </c>
      <c r="D52" s="263">
        <v>158105</v>
      </c>
      <c r="E52" s="263">
        <v>86176</v>
      </c>
      <c r="F52" s="263">
        <v>136544</v>
      </c>
      <c r="G52" s="300">
        <v>155805</v>
      </c>
      <c r="H52" s="263">
        <v>33073</v>
      </c>
      <c r="I52" s="263">
        <v>72544</v>
      </c>
      <c r="J52" s="263">
        <v>116854</v>
      </c>
      <c r="K52" s="300">
        <v>155805</v>
      </c>
      <c r="L52" s="263">
        <v>124041</v>
      </c>
      <c r="M52" s="264"/>
      <c r="N52" s="261"/>
      <c r="O52" s="259"/>
    </row>
    <row r="53" spans="1:15" s="233" customFormat="1" ht="17.25" customHeight="1">
      <c r="A53" s="249" t="s">
        <v>21</v>
      </c>
      <c r="B53" s="298" t="s">
        <v>46</v>
      </c>
      <c r="C53" s="263">
        <v>15</v>
      </c>
      <c r="D53" s="263">
        <v>8</v>
      </c>
      <c r="E53" s="263">
        <v>12.2</v>
      </c>
      <c r="F53" s="263">
        <v>4.8</v>
      </c>
      <c r="G53" s="300">
        <v>7.3</v>
      </c>
      <c r="H53" s="263">
        <v>1.6</v>
      </c>
      <c r="I53" s="263">
        <v>3.4</v>
      </c>
      <c r="J53" s="263">
        <v>5.5</v>
      </c>
      <c r="K53" s="300">
        <v>7.3</v>
      </c>
      <c r="L53" s="263">
        <v>5.5</v>
      </c>
      <c r="M53" s="264"/>
      <c r="N53" s="261"/>
      <c r="O53" s="259"/>
    </row>
    <row r="54" spans="1:15" s="233" customFormat="1" ht="27.75" customHeight="1">
      <c r="A54" s="249" t="s">
        <v>23</v>
      </c>
      <c r="B54" s="298" t="s">
        <v>47</v>
      </c>
      <c r="C54" s="263">
        <v>15</v>
      </c>
      <c r="D54" s="301">
        <v>0.7</v>
      </c>
      <c r="E54" s="301">
        <v>0.71</v>
      </c>
      <c r="F54" s="301">
        <v>0.86</v>
      </c>
      <c r="G54" s="302">
        <v>0.71</v>
      </c>
      <c r="H54" s="301">
        <v>0.7</v>
      </c>
      <c r="I54" s="301">
        <v>0.7</v>
      </c>
      <c r="J54" s="301">
        <v>0.7</v>
      </c>
      <c r="K54" s="302">
        <v>0.7</v>
      </c>
      <c r="L54" s="263">
        <v>0.7</v>
      </c>
      <c r="M54" s="264"/>
      <c r="N54" s="261"/>
      <c r="O54" s="259"/>
    </row>
    <row r="55" spans="1:15" s="233" customFormat="1" ht="27.75" customHeight="1">
      <c r="A55" s="249" t="s">
        <v>25</v>
      </c>
      <c r="B55" s="298" t="s">
        <v>48</v>
      </c>
      <c r="C55" s="263">
        <v>5</v>
      </c>
      <c r="D55" s="263">
        <v>0.04</v>
      </c>
      <c r="E55" s="263">
        <v>2.9000000000000001E-2</v>
      </c>
      <c r="F55" s="263">
        <v>0.03</v>
      </c>
      <c r="G55" s="300">
        <v>0.04</v>
      </c>
      <c r="H55" s="263">
        <v>0.04</v>
      </c>
      <c r="I55" s="263">
        <v>0.03</v>
      </c>
      <c r="J55" s="263">
        <v>0.03</v>
      </c>
      <c r="K55" s="300">
        <v>0.04</v>
      </c>
      <c r="L55" s="263">
        <v>0.02</v>
      </c>
      <c r="M55" s="264"/>
      <c r="N55" s="261"/>
      <c r="O55" s="259"/>
    </row>
    <row r="56" spans="1:15" s="233" customFormat="1" ht="27.75" customHeight="1">
      <c r="A56" s="249" t="s">
        <v>27</v>
      </c>
      <c r="B56" s="298" t="s">
        <v>49</v>
      </c>
      <c r="C56" s="263">
        <v>0</v>
      </c>
      <c r="D56" s="263">
        <v>0</v>
      </c>
      <c r="E56" s="263">
        <v>0</v>
      </c>
      <c r="F56" s="263">
        <v>0</v>
      </c>
      <c r="G56" s="300">
        <v>0</v>
      </c>
      <c r="H56" s="263">
        <v>0</v>
      </c>
      <c r="I56" s="263">
        <v>0</v>
      </c>
      <c r="J56" s="263">
        <v>0</v>
      </c>
      <c r="K56" s="300">
        <v>0</v>
      </c>
      <c r="L56" s="263">
        <v>0</v>
      </c>
      <c r="M56" s="264"/>
      <c r="N56" s="261"/>
      <c r="O56" s="259"/>
    </row>
    <row r="57" spans="1:15" s="233" customFormat="1" ht="27.75" customHeight="1">
      <c r="A57" s="249" t="s">
        <v>29</v>
      </c>
      <c r="B57" s="298" t="s">
        <v>50</v>
      </c>
      <c r="C57" s="263">
        <v>0</v>
      </c>
      <c r="D57" s="263">
        <v>0</v>
      </c>
      <c r="E57" s="263">
        <v>0</v>
      </c>
      <c r="F57" s="263">
        <v>0</v>
      </c>
      <c r="G57" s="300">
        <v>0</v>
      </c>
      <c r="H57" s="263">
        <v>0</v>
      </c>
      <c r="I57" s="263">
        <v>0</v>
      </c>
      <c r="J57" s="263">
        <v>0</v>
      </c>
      <c r="K57" s="300">
        <v>0</v>
      </c>
      <c r="L57" s="263">
        <v>0</v>
      </c>
      <c r="M57" s="264"/>
      <c r="N57" s="261"/>
      <c r="O57" s="259"/>
    </row>
    <row r="58" spans="1:15" s="233" customFormat="1" ht="27.75" customHeight="1">
      <c r="A58" s="249" t="s">
        <v>31</v>
      </c>
      <c r="B58" s="298" t="s">
        <v>51</v>
      </c>
      <c r="C58" s="263">
        <v>10</v>
      </c>
      <c r="D58" s="303">
        <v>17.8</v>
      </c>
      <c r="E58" s="263">
        <v>11.4</v>
      </c>
      <c r="F58" s="303">
        <v>14</v>
      </c>
      <c r="G58" s="300">
        <v>19.8</v>
      </c>
      <c r="H58" s="303">
        <v>5</v>
      </c>
      <c r="I58" s="263">
        <v>9.9</v>
      </c>
      <c r="J58" s="263">
        <v>14.9</v>
      </c>
      <c r="K58" s="300">
        <v>19.8</v>
      </c>
      <c r="L58" s="263">
        <v>15.8</v>
      </c>
      <c r="M58" s="264"/>
      <c r="N58" s="261"/>
      <c r="O58" s="259"/>
    </row>
    <row r="59" spans="1:15" s="233" customFormat="1" ht="17.25" customHeight="1">
      <c r="A59" s="249" t="s">
        <v>33</v>
      </c>
      <c r="B59" s="298" t="s">
        <v>52</v>
      </c>
      <c r="C59" s="263">
        <v>5</v>
      </c>
      <c r="D59" s="263">
        <v>1.08</v>
      </c>
      <c r="E59" s="263">
        <v>0.78</v>
      </c>
      <c r="F59" s="263">
        <v>0.89</v>
      </c>
      <c r="G59" s="300">
        <v>1.05</v>
      </c>
      <c r="H59" s="263">
        <v>0.94</v>
      </c>
      <c r="I59" s="263">
        <v>0.77</v>
      </c>
      <c r="J59" s="263">
        <v>1.1599999999999999</v>
      </c>
      <c r="K59" s="300">
        <v>1.05</v>
      </c>
      <c r="L59" s="263">
        <v>1.02</v>
      </c>
      <c r="M59" s="264"/>
      <c r="N59" s="261"/>
      <c r="O59" s="259"/>
    </row>
    <row r="60" spans="1:15" s="233" customFormat="1" ht="29.25" customHeight="1">
      <c r="A60" s="249" t="s">
        <v>35</v>
      </c>
      <c r="B60" s="298" t="s">
        <v>53</v>
      </c>
      <c r="C60" s="263">
        <v>0</v>
      </c>
      <c r="D60" s="263"/>
      <c r="E60" s="263"/>
      <c r="F60" s="263"/>
      <c r="G60" s="300"/>
      <c r="H60" s="263"/>
      <c r="I60" s="263"/>
      <c r="J60" s="263"/>
      <c r="K60" s="300"/>
      <c r="L60" s="263">
        <v>0</v>
      </c>
      <c r="M60" s="264"/>
      <c r="N60" s="261"/>
      <c r="O60" s="259"/>
    </row>
    <row r="61" spans="1:15" s="233" customFormat="1" ht="29.25" customHeight="1">
      <c r="A61" s="249" t="s">
        <v>37</v>
      </c>
      <c r="B61" s="298" t="s">
        <v>54</v>
      </c>
      <c r="C61" s="263">
        <v>0</v>
      </c>
      <c r="D61" s="263"/>
      <c r="E61" s="263"/>
      <c r="F61" s="263"/>
      <c r="G61" s="300"/>
      <c r="H61" s="263"/>
      <c r="I61" s="263"/>
      <c r="J61" s="263"/>
      <c r="K61" s="300"/>
      <c r="L61" s="263">
        <v>0</v>
      </c>
      <c r="M61" s="264"/>
      <c r="N61" s="261"/>
      <c r="O61" s="259"/>
    </row>
    <row r="62" spans="1:15" s="233" customFormat="1" ht="29.25" customHeight="1" thickBot="1">
      <c r="A62" s="274" t="s">
        <v>39</v>
      </c>
      <c r="B62" s="304" t="s">
        <v>55</v>
      </c>
      <c r="C62" s="305">
        <v>0</v>
      </c>
      <c r="D62" s="305">
        <v>0</v>
      </c>
      <c r="E62" s="305">
        <v>0</v>
      </c>
      <c r="F62" s="305">
        <v>0</v>
      </c>
      <c r="G62" s="306">
        <v>0</v>
      </c>
      <c r="H62" s="305">
        <v>0</v>
      </c>
      <c r="I62" s="305">
        <v>0</v>
      </c>
      <c r="J62" s="305">
        <v>0</v>
      </c>
      <c r="K62" s="306">
        <v>0</v>
      </c>
      <c r="L62" s="305">
        <v>0</v>
      </c>
      <c r="M62" s="307"/>
      <c r="N62" s="308"/>
      <c r="O62" s="276"/>
    </row>
    <row r="63" spans="1:15" s="233" customFormat="1" ht="22.5" customHeight="1" thickBot="1">
      <c r="A63" s="414" t="s">
        <v>56</v>
      </c>
      <c r="B63" s="415"/>
      <c r="C63" s="309">
        <v>100</v>
      </c>
      <c r="D63" s="309"/>
      <c r="E63" s="309"/>
      <c r="F63" s="310"/>
      <c r="G63" s="247"/>
      <c r="H63" s="311"/>
      <c r="I63" s="309"/>
      <c r="J63" s="309"/>
      <c r="K63" s="312"/>
      <c r="L63" s="313"/>
      <c r="M63" s="314"/>
      <c r="N63" s="315"/>
      <c r="O63" s="316"/>
    </row>
  </sheetData>
  <mergeCells count="45">
    <mergeCell ref="A2:O2"/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  <mergeCell ref="A43:O43"/>
    <mergeCell ref="A44:O44"/>
    <mergeCell ref="A45:O45"/>
    <mergeCell ref="A46:O46"/>
    <mergeCell ref="A63:B63"/>
    <mergeCell ref="C47:C48"/>
    <mergeCell ref="B47:B48"/>
    <mergeCell ref="A47:A48"/>
    <mergeCell ref="N47:N48"/>
    <mergeCell ref="O47:O48"/>
    <mergeCell ref="D47:F47"/>
    <mergeCell ref="G47:G48"/>
    <mergeCell ref="H47:K47"/>
    <mergeCell ref="L47:L48"/>
    <mergeCell ref="M47:M48"/>
    <mergeCell ref="A21:B21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  <mergeCell ref="A1:O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B9" sqref="B9"/>
    </sheetView>
  </sheetViews>
  <sheetFormatPr defaultRowHeight="15"/>
  <cols>
    <col min="1" max="1" width="5.7109375" style="53" customWidth="1"/>
    <col min="2" max="2" width="63.28515625" style="53" customWidth="1"/>
    <col min="3" max="3" width="9.5703125" style="53" customWidth="1"/>
    <col min="4" max="6" width="9.5703125" style="53" hidden="1" customWidth="1"/>
    <col min="7" max="7" width="11.85546875" style="53" hidden="1" customWidth="1"/>
    <col min="8" max="8" width="12.140625" style="53" customWidth="1"/>
    <col min="9" max="9" width="13" style="53" customWidth="1"/>
    <col min="10" max="10" width="12.85546875" style="53" customWidth="1"/>
    <col min="11" max="11" width="13.140625" style="53" customWidth="1"/>
    <col min="12" max="16384" width="9.140625" style="53"/>
  </cols>
  <sheetData>
    <row r="1" spans="1:11">
      <c r="A1" s="347" t="s">
        <v>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>
      <c r="A2" s="347" t="s">
        <v>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</row>
    <row r="3" spans="1:11" s="51" customFormat="1" ht="18" customHeight="1">
      <c r="A3" s="348" t="s">
        <v>287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</row>
    <row r="4" spans="1:11" s="51" customFormat="1" ht="19.5" customHeight="1">
      <c r="A4" s="348" t="s">
        <v>291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</row>
    <row r="5" spans="1:11" s="51" customFormat="1" ht="53.25" customHeight="1">
      <c r="A5" s="329" t="s">
        <v>6</v>
      </c>
      <c r="B5" s="329" t="s">
        <v>7</v>
      </c>
      <c r="C5" s="329" t="s">
        <v>180</v>
      </c>
      <c r="D5" s="329" t="s">
        <v>226</v>
      </c>
      <c r="E5" s="329" t="s">
        <v>227</v>
      </c>
      <c r="F5" s="329" t="s">
        <v>228</v>
      </c>
      <c r="G5" s="329" t="s">
        <v>229</v>
      </c>
      <c r="H5" s="329" t="s">
        <v>217</v>
      </c>
      <c r="I5" s="329" t="s">
        <v>181</v>
      </c>
      <c r="J5" s="329" t="s">
        <v>182</v>
      </c>
      <c r="K5" s="329" t="s">
        <v>8</v>
      </c>
    </row>
    <row r="6" spans="1:11" s="51" customFormat="1" ht="15.75" thickBot="1">
      <c r="A6" s="329"/>
      <c r="B6" s="329" t="s">
        <v>9</v>
      </c>
      <c r="C6" s="329" t="s">
        <v>10</v>
      </c>
      <c r="D6" s="329"/>
      <c r="E6" s="329"/>
      <c r="F6" s="329"/>
      <c r="G6" s="329"/>
      <c r="H6" s="329" t="s">
        <v>11</v>
      </c>
      <c r="I6" s="329" t="s">
        <v>12</v>
      </c>
      <c r="J6" s="329" t="s">
        <v>13</v>
      </c>
      <c r="K6" s="329" t="s">
        <v>14</v>
      </c>
    </row>
    <row r="7" spans="1:11" s="51" customFormat="1" ht="30" customHeight="1">
      <c r="A7" s="330" t="s">
        <v>15</v>
      </c>
      <c r="B7" s="332" t="s">
        <v>16</v>
      </c>
      <c r="C7" s="54">
        <v>10</v>
      </c>
      <c r="D7" s="54">
        <v>590036</v>
      </c>
      <c r="E7" s="54">
        <v>1727390</v>
      </c>
      <c r="F7" s="54">
        <v>2469678</v>
      </c>
      <c r="G7" s="54">
        <v>2951195</v>
      </c>
      <c r="H7" s="76">
        <v>14570149</v>
      </c>
      <c r="I7" s="64">
        <f>'При №3 а'!P8</f>
        <v>8597953</v>
      </c>
      <c r="J7" s="55">
        <f>I7/H7*100</f>
        <v>59.010741756999188</v>
      </c>
      <c r="K7" s="55">
        <f>J7*C7/100</f>
        <v>5.901074175699919</v>
      </c>
    </row>
    <row r="8" spans="1:11" s="51" customFormat="1" ht="22.5" customHeight="1">
      <c r="A8" s="330" t="s">
        <v>17</v>
      </c>
      <c r="B8" s="332" t="s">
        <v>18</v>
      </c>
      <c r="C8" s="54">
        <v>10</v>
      </c>
      <c r="D8" s="54">
        <v>9.7000000000000003E-2</v>
      </c>
      <c r="E8" s="54">
        <v>8.3000000000000004E-2</v>
      </c>
      <c r="F8" s="54">
        <v>8.2000000000000003E-2</v>
      </c>
      <c r="G8" s="54">
        <v>8.2000000000000003E-2</v>
      </c>
      <c r="H8" s="37">
        <v>0.05</v>
      </c>
      <c r="I8" s="56">
        <f>'При №3 а'!P21</f>
        <v>7.5934894587697269E-2</v>
      </c>
      <c r="J8" s="55">
        <f>H8/I8*100</f>
        <v>65.845880568458497</v>
      </c>
      <c r="K8" s="55">
        <f>J8*C8/100</f>
        <v>6.584588056845849</v>
      </c>
    </row>
    <row r="9" spans="1:11" s="51" customFormat="1" ht="30" customHeight="1">
      <c r="A9" s="330" t="s">
        <v>19</v>
      </c>
      <c r="B9" s="332" t="s">
        <v>20</v>
      </c>
      <c r="C9" s="54">
        <v>10</v>
      </c>
      <c r="D9" s="54">
        <v>0.02</v>
      </c>
      <c r="E9" s="54">
        <v>0.04</v>
      </c>
      <c r="F9" s="54">
        <v>0.06</v>
      </c>
      <c r="G9" s="54">
        <v>0.08</v>
      </c>
      <c r="H9" s="54">
        <v>0.22</v>
      </c>
      <c r="I9" s="27">
        <f>'При №3 а'!P22</f>
        <v>7.5874439886010808E-2</v>
      </c>
      <c r="J9" s="55">
        <f t="shared" ref="J9:J18" si="0">I9/H9*100</f>
        <v>34.488381766368548</v>
      </c>
      <c r="K9" s="55">
        <f t="shared" ref="K9:K18" si="1">J9*C9/100</f>
        <v>3.4488381766368548</v>
      </c>
    </row>
    <row r="10" spans="1:11" s="51" customFormat="1" ht="20.25" customHeight="1">
      <c r="A10" s="330" t="s">
        <v>21</v>
      </c>
      <c r="B10" s="332" t="s">
        <v>22</v>
      </c>
      <c r="C10" s="54">
        <v>10</v>
      </c>
      <c r="D10" s="54">
        <v>0.18</v>
      </c>
      <c r="E10" s="54">
        <v>0.35</v>
      </c>
      <c r="F10" s="54">
        <v>0.53</v>
      </c>
      <c r="G10" s="54">
        <v>0.7</v>
      </c>
      <c r="H10" s="49">
        <v>0.22</v>
      </c>
      <c r="I10" s="58">
        <f>'При №3 а'!P23</f>
        <v>7.5874439886010808E-2</v>
      </c>
      <c r="J10" s="55">
        <f t="shared" si="0"/>
        <v>34.488381766368548</v>
      </c>
      <c r="K10" s="55">
        <f t="shared" si="1"/>
        <v>3.4488381766368548</v>
      </c>
    </row>
    <row r="11" spans="1:11" s="51" customFormat="1" ht="20.25" customHeight="1">
      <c r="A11" s="330" t="s">
        <v>23</v>
      </c>
      <c r="B11" s="332" t="s">
        <v>24</v>
      </c>
      <c r="C11" s="54">
        <v>10</v>
      </c>
      <c r="D11" s="54">
        <v>0</v>
      </c>
      <c r="E11" s="54">
        <v>0</v>
      </c>
      <c r="F11" s="54">
        <v>0</v>
      </c>
      <c r="G11" s="54">
        <v>0.16</v>
      </c>
      <c r="H11" s="54">
        <v>0</v>
      </c>
      <c r="I11" s="58">
        <f>'При №3 а'!P24</f>
        <v>0</v>
      </c>
      <c r="J11" s="55">
        <v>100</v>
      </c>
      <c r="K11" s="55">
        <f t="shared" si="1"/>
        <v>10</v>
      </c>
    </row>
    <row r="12" spans="1:11" s="51" customFormat="1" ht="20.25" customHeight="1">
      <c r="A12" s="330" t="s">
        <v>25</v>
      </c>
      <c r="B12" s="332" t="s">
        <v>26</v>
      </c>
      <c r="C12" s="54">
        <v>5</v>
      </c>
      <c r="D12" s="54">
        <v>3.0000000000000001E-3</v>
      </c>
      <c r="E12" s="54">
        <v>5.0000000000000001E-3</v>
      </c>
      <c r="F12" s="54">
        <v>7.0000000000000001E-3</v>
      </c>
      <c r="G12" s="54">
        <v>8.9999999999999993E-3</v>
      </c>
      <c r="H12" s="54">
        <v>8.7999999999999995E-2</v>
      </c>
      <c r="I12" s="56">
        <f>'При №3 а'!P25</f>
        <v>2.800214806505388E-2</v>
      </c>
      <c r="J12" s="55">
        <f t="shared" si="0"/>
        <v>31.82062280119759</v>
      </c>
      <c r="K12" s="55">
        <f t="shared" si="1"/>
        <v>1.5910311400598796</v>
      </c>
    </row>
    <row r="13" spans="1:11" s="51" customFormat="1" ht="20.25" customHeight="1">
      <c r="A13" s="330" t="s">
        <v>27</v>
      </c>
      <c r="B13" s="332" t="s">
        <v>28</v>
      </c>
      <c r="C13" s="54">
        <v>5</v>
      </c>
      <c r="D13" s="54">
        <v>0.17</v>
      </c>
      <c r="E13" s="54">
        <v>0.15</v>
      </c>
      <c r="F13" s="54">
        <v>0.13</v>
      </c>
      <c r="G13" s="54">
        <v>0.11</v>
      </c>
      <c r="H13" s="59">
        <v>5.0000000000000001E-3</v>
      </c>
      <c r="I13" s="56">
        <f>'При №3 а'!P31</f>
        <v>0.1392367730944811</v>
      </c>
      <c r="J13" s="55">
        <f t="shared" si="0"/>
        <v>2784.735461889622</v>
      </c>
      <c r="K13" s="55">
        <f t="shared" si="1"/>
        <v>139.23677309448109</v>
      </c>
    </row>
    <row r="14" spans="1:11" s="51" customFormat="1" ht="20.25" customHeight="1">
      <c r="A14" s="330" t="s">
        <v>29</v>
      </c>
      <c r="B14" s="332" t="s">
        <v>30</v>
      </c>
      <c r="C14" s="54">
        <v>5</v>
      </c>
      <c r="D14" s="54">
        <v>0.12</v>
      </c>
      <c r="E14" s="49">
        <v>0.1</v>
      </c>
      <c r="F14" s="54">
        <v>0.08</v>
      </c>
      <c r="G14" s="54">
        <v>0.06</v>
      </c>
      <c r="H14" s="54">
        <v>0.21</v>
      </c>
      <c r="I14" s="58">
        <f>'При №3 а'!P34</f>
        <v>0.2762753565060394</v>
      </c>
      <c r="J14" s="55">
        <f t="shared" si="0"/>
        <v>131.55969357430448</v>
      </c>
      <c r="K14" s="55">
        <f t="shared" si="1"/>
        <v>6.5779846787152234</v>
      </c>
    </row>
    <row r="15" spans="1:11" s="51" customFormat="1" ht="20.25" customHeight="1">
      <c r="A15" s="330" t="s">
        <v>31</v>
      </c>
      <c r="B15" s="332" t="s">
        <v>32</v>
      </c>
      <c r="C15" s="54">
        <v>10</v>
      </c>
      <c r="D15" s="54">
        <v>190.8</v>
      </c>
      <c r="E15" s="54">
        <v>120.3</v>
      </c>
      <c r="F15" s="57">
        <v>69</v>
      </c>
      <c r="G15" s="57">
        <v>69</v>
      </c>
      <c r="H15" s="57">
        <v>22</v>
      </c>
      <c r="I15" s="57">
        <f>'При №3 а'!P38</f>
        <v>30.879618230807061</v>
      </c>
      <c r="J15" s="55">
        <f>H15/I15*100</f>
        <v>71.244404110060188</v>
      </c>
      <c r="K15" s="55">
        <f t="shared" si="1"/>
        <v>7.1244404110060193</v>
      </c>
    </row>
    <row r="16" spans="1:11" s="51" customFormat="1" ht="20.25" customHeight="1">
      <c r="A16" s="330" t="s">
        <v>33</v>
      </c>
      <c r="B16" s="332" t="s">
        <v>34</v>
      </c>
      <c r="C16" s="54">
        <v>10</v>
      </c>
      <c r="D16" s="54">
        <v>75.8</v>
      </c>
      <c r="E16" s="54">
        <v>32.299999999999997</v>
      </c>
      <c r="F16" s="54">
        <v>10.4</v>
      </c>
      <c r="G16" s="54">
        <v>7.8</v>
      </c>
      <c r="H16" s="54">
        <v>13.8</v>
      </c>
      <c r="I16" s="57">
        <f>'При №3 а'!P42</f>
        <v>19.475601837378981</v>
      </c>
      <c r="J16" s="55">
        <f>H16/I16*100</f>
        <v>70.857887295241596</v>
      </c>
      <c r="K16" s="55">
        <f t="shared" si="1"/>
        <v>7.0857887295241593</v>
      </c>
    </row>
    <row r="17" spans="1:11" s="51" customFormat="1" ht="20.25" customHeight="1">
      <c r="A17" s="330" t="s">
        <v>35</v>
      </c>
      <c r="B17" s="332" t="s">
        <v>36</v>
      </c>
      <c r="C17" s="54">
        <v>5</v>
      </c>
      <c r="D17" s="54">
        <v>1.1200000000000001</v>
      </c>
      <c r="E17" s="54">
        <v>1.1100000000000001</v>
      </c>
      <c r="F17" s="54">
        <v>1.02</v>
      </c>
      <c r="G17" s="54">
        <v>1.02</v>
      </c>
      <c r="H17" s="54">
        <v>1.17</v>
      </c>
      <c r="I17" s="49">
        <f>'При №3 а'!P46</f>
        <v>1.1243354805376575</v>
      </c>
      <c r="J17" s="55">
        <f t="shared" si="0"/>
        <v>96.097049618603208</v>
      </c>
      <c r="K17" s="55">
        <f t="shared" si="1"/>
        <v>4.80485248093016</v>
      </c>
    </row>
    <row r="18" spans="1:11" s="51" customFormat="1" ht="20.25" customHeight="1" thickBot="1">
      <c r="A18" s="330" t="s">
        <v>37</v>
      </c>
      <c r="B18" s="332" t="s">
        <v>38</v>
      </c>
      <c r="C18" s="54">
        <v>10</v>
      </c>
      <c r="D18" s="54">
        <v>0</v>
      </c>
      <c r="E18" s="54">
        <v>0</v>
      </c>
      <c r="F18" s="54">
        <v>0</v>
      </c>
      <c r="G18" s="49">
        <v>0.3</v>
      </c>
      <c r="H18" s="71">
        <v>0.3</v>
      </c>
      <c r="I18" s="49">
        <f>'При №3 а'!P50</f>
        <v>0.27777777777777779</v>
      </c>
      <c r="J18" s="55">
        <f t="shared" si="0"/>
        <v>92.592592592592609</v>
      </c>
      <c r="K18" s="55">
        <f t="shared" si="1"/>
        <v>9.2592592592592613</v>
      </c>
    </row>
    <row r="19" spans="1:11" s="51" customFormat="1" ht="21.75" customHeight="1">
      <c r="A19" s="372" t="s">
        <v>41</v>
      </c>
      <c r="B19" s="372"/>
      <c r="C19" s="329">
        <v>100</v>
      </c>
      <c r="D19" s="329"/>
      <c r="E19" s="329"/>
      <c r="F19" s="329"/>
      <c r="G19" s="329"/>
      <c r="H19" s="54"/>
      <c r="I19" s="54"/>
      <c r="J19" s="54"/>
      <c r="K19" s="55">
        <f>SUM(K7:K18)</f>
        <v>205.06346837979527</v>
      </c>
    </row>
    <row r="20" spans="1:11" s="51" customFormat="1" ht="25.5" customHeight="1">
      <c r="A20" s="326"/>
      <c r="B20" s="326"/>
      <c r="C20" s="326"/>
      <c r="D20" s="326"/>
      <c r="E20" s="326"/>
      <c r="F20" s="326"/>
      <c r="G20" s="326"/>
      <c r="H20" s="326"/>
      <c r="I20" s="326"/>
      <c r="J20" s="326"/>
      <c r="K20" s="326"/>
    </row>
    <row r="21" spans="1:11" s="60" customFormat="1" ht="18.75">
      <c r="B21" s="60" t="s">
        <v>262</v>
      </c>
      <c r="C21" s="61"/>
    </row>
    <row r="22" spans="1:11" s="60" customFormat="1" ht="18.75">
      <c r="B22" s="60" t="s">
        <v>270</v>
      </c>
      <c r="C22" s="371" t="s">
        <v>288</v>
      </c>
      <c r="D22" s="371"/>
      <c r="E22" s="371"/>
      <c r="F22" s="371"/>
      <c r="G22" s="371"/>
      <c r="H22" s="371"/>
      <c r="I22" s="371"/>
      <c r="J22" s="371"/>
    </row>
    <row r="23" spans="1:11" s="60" customFormat="1" ht="18.75">
      <c r="C23" s="327"/>
      <c r="D23" s="327"/>
      <c r="E23" s="327"/>
      <c r="F23" s="327"/>
    </row>
    <row r="24" spans="1:11" s="60" customFormat="1" ht="18.75">
      <c r="B24" s="60" t="s">
        <v>263</v>
      </c>
      <c r="C24" s="371" t="s">
        <v>243</v>
      </c>
      <c r="D24" s="371"/>
      <c r="E24" s="371"/>
      <c r="F24" s="371"/>
      <c r="G24" s="371"/>
      <c r="H24" s="371"/>
      <c r="I24" s="371"/>
      <c r="J24" s="371"/>
    </row>
    <row r="25" spans="1:11" s="60" customFormat="1" ht="18.75">
      <c r="C25" s="61"/>
    </row>
    <row r="26" spans="1:11" s="60" customFormat="1" ht="18.75">
      <c r="B26" s="60" t="s">
        <v>289</v>
      </c>
      <c r="C26" s="371"/>
      <c r="D26" s="371"/>
      <c r="E26" s="371"/>
      <c r="F26" s="371"/>
      <c r="G26" s="371"/>
      <c r="H26" s="371"/>
      <c r="I26" s="371"/>
    </row>
    <row r="34" spans="1:11">
      <c r="A34" s="347" t="s">
        <v>2</v>
      </c>
      <c r="B34" s="347"/>
      <c r="C34" s="347"/>
      <c r="D34" s="347"/>
      <c r="E34" s="347"/>
      <c r="F34" s="347"/>
      <c r="G34" s="347"/>
      <c r="H34" s="347"/>
      <c r="I34" s="347"/>
      <c r="J34" s="347"/>
      <c r="K34" s="347"/>
    </row>
    <row r="35" spans="1:11">
      <c r="A35" s="347" t="s">
        <v>3</v>
      </c>
      <c r="B35" s="347"/>
      <c r="C35" s="347"/>
      <c r="D35" s="347"/>
      <c r="E35" s="347"/>
      <c r="F35" s="347"/>
      <c r="G35" s="347"/>
      <c r="H35" s="347"/>
      <c r="I35" s="347"/>
      <c r="J35" s="347"/>
      <c r="K35" s="347"/>
    </row>
    <row r="36" spans="1:11" s="51" customFormat="1" ht="18" customHeight="1">
      <c r="A36" s="348" t="s">
        <v>4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</row>
    <row r="37" spans="1:11" s="51" customFormat="1" ht="19.5" thickBot="1">
      <c r="A37" s="348" t="s">
        <v>245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8"/>
    </row>
    <row r="38" spans="1:11" s="51" customFormat="1" ht="53.25" customHeight="1" thickBot="1">
      <c r="A38" s="328" t="s">
        <v>6</v>
      </c>
      <c r="B38" s="328" t="s">
        <v>7</v>
      </c>
      <c r="C38" s="329" t="s">
        <v>180</v>
      </c>
      <c r="D38" s="329" t="s">
        <v>226</v>
      </c>
      <c r="E38" s="329" t="s">
        <v>227</v>
      </c>
      <c r="F38" s="329" t="s">
        <v>228</v>
      </c>
      <c r="G38" s="329" t="s">
        <v>229</v>
      </c>
      <c r="H38" s="329" t="s">
        <v>217</v>
      </c>
      <c r="I38" s="325" t="s">
        <v>181</v>
      </c>
      <c r="J38" s="100" t="s">
        <v>182</v>
      </c>
      <c r="K38" s="159" t="s">
        <v>8</v>
      </c>
    </row>
    <row r="39" spans="1:11" s="51" customFormat="1" ht="15.75" thickBot="1">
      <c r="A39" s="328"/>
      <c r="B39" s="328" t="s">
        <v>9</v>
      </c>
      <c r="C39" s="329" t="s">
        <v>10</v>
      </c>
      <c r="D39" s="329"/>
      <c r="E39" s="329"/>
      <c r="F39" s="329"/>
      <c r="G39" s="329"/>
      <c r="H39" s="329" t="s">
        <v>11</v>
      </c>
      <c r="I39" s="325" t="s">
        <v>12</v>
      </c>
      <c r="J39" s="100" t="s">
        <v>13</v>
      </c>
      <c r="K39" s="159" t="s">
        <v>14</v>
      </c>
    </row>
    <row r="40" spans="1:11" s="51" customFormat="1" ht="30" customHeight="1" thickBot="1">
      <c r="A40" s="205" t="s">
        <v>15</v>
      </c>
      <c r="B40" s="206" t="s">
        <v>16</v>
      </c>
      <c r="C40" s="54">
        <v>10</v>
      </c>
      <c r="D40" s="54">
        <v>590036</v>
      </c>
      <c r="E40" s="54">
        <v>1727390</v>
      </c>
      <c r="F40" s="54">
        <v>2469678</v>
      </c>
      <c r="G40" s="54">
        <v>2951195</v>
      </c>
      <c r="H40" s="147">
        <f>590036*1.05</f>
        <v>619537.80000000005</v>
      </c>
      <c r="I40" s="147">
        <v>1183400</v>
      </c>
      <c r="J40" s="55">
        <f>I40/H40*100</f>
        <v>191.01336512477528</v>
      </c>
      <c r="K40" s="207">
        <f>J40*C40/100</f>
        <v>19.101336512477527</v>
      </c>
    </row>
    <row r="41" spans="1:11" s="51" customFormat="1" ht="22.5" customHeight="1" thickBot="1">
      <c r="A41" s="208" t="s">
        <v>17</v>
      </c>
      <c r="B41" s="209" t="s">
        <v>18</v>
      </c>
      <c r="C41" s="54">
        <v>10</v>
      </c>
      <c r="D41" s="54">
        <v>9.7000000000000003E-2</v>
      </c>
      <c r="E41" s="54">
        <v>8.3000000000000004E-2</v>
      </c>
      <c r="F41" s="54">
        <v>8.2000000000000003E-2</v>
      </c>
      <c r="G41" s="54">
        <v>8.2000000000000003E-2</v>
      </c>
      <c r="H41" s="37">
        <v>8.2000000000000003E-2</v>
      </c>
      <c r="I41" s="210">
        <f>7655452/91068655</f>
        <v>8.4062425210957595E-2</v>
      </c>
      <c r="J41" s="57">
        <f>I41/H41*100</f>
        <v>102.51515269628975</v>
      </c>
      <c r="K41" s="207">
        <f t="shared" ref="K41:K51" si="2">J41*C41/100</f>
        <v>10.251515269628975</v>
      </c>
    </row>
    <row r="42" spans="1:11" s="51" customFormat="1" ht="30" customHeight="1" thickBot="1">
      <c r="A42" s="208" t="s">
        <v>19</v>
      </c>
      <c r="B42" s="209" t="s">
        <v>20</v>
      </c>
      <c r="C42" s="54">
        <v>10</v>
      </c>
      <c r="D42" s="54">
        <v>0.02</v>
      </c>
      <c r="E42" s="54">
        <v>0.04</v>
      </c>
      <c r="F42" s="54">
        <v>0.06</v>
      </c>
      <c r="G42" s="54">
        <v>0.08</v>
      </c>
      <c r="H42" s="54">
        <v>0.08</v>
      </c>
      <c r="I42" s="49">
        <f>1586715/((5379433+6841301)/2)</f>
        <v>0.25967589180813527</v>
      </c>
      <c r="J42" s="57">
        <f t="shared" ref="J42:J51" si="3">I42/H42*100</f>
        <v>324.59486476016906</v>
      </c>
      <c r="K42" s="207">
        <f t="shared" si="2"/>
        <v>32.459486476016906</v>
      </c>
    </row>
    <row r="43" spans="1:11" s="51" customFormat="1" ht="20.25" customHeight="1" thickBot="1">
      <c r="A43" s="208" t="s">
        <v>21</v>
      </c>
      <c r="B43" s="209" t="s">
        <v>22</v>
      </c>
      <c r="C43" s="54">
        <v>10</v>
      </c>
      <c r="D43" s="54">
        <v>0.18</v>
      </c>
      <c r="E43" s="54">
        <v>0.35</v>
      </c>
      <c r="F43" s="54">
        <v>0.53</v>
      </c>
      <c r="G43" s="54">
        <v>0.7</v>
      </c>
      <c r="H43" s="49">
        <v>7.0000000000000007E-2</v>
      </c>
      <c r="I43" s="49">
        <f>1586715/639863</f>
        <v>2.4797730139107901</v>
      </c>
      <c r="J43" s="57">
        <f t="shared" si="3"/>
        <v>3542.5328770154138</v>
      </c>
      <c r="K43" s="211">
        <f t="shared" si="2"/>
        <v>354.25328770154141</v>
      </c>
    </row>
    <row r="44" spans="1:11" s="51" customFormat="1" ht="20.25" customHeight="1" thickBot="1">
      <c r="A44" s="208" t="s">
        <v>23</v>
      </c>
      <c r="B44" s="209" t="s">
        <v>24</v>
      </c>
      <c r="C44" s="54">
        <v>10</v>
      </c>
      <c r="D44" s="54">
        <v>0</v>
      </c>
      <c r="E44" s="54">
        <v>0</v>
      </c>
      <c r="F44" s="54">
        <v>0</v>
      </c>
      <c r="G44" s="54">
        <v>0.16</v>
      </c>
      <c r="H44" s="54">
        <v>0.16</v>
      </c>
      <c r="I44" s="49">
        <v>1.24</v>
      </c>
      <c r="J44" s="55">
        <f t="shared" si="3"/>
        <v>775</v>
      </c>
      <c r="K44" s="211">
        <f t="shared" si="2"/>
        <v>77.5</v>
      </c>
    </row>
    <row r="45" spans="1:11" s="51" customFormat="1" ht="20.25" customHeight="1" thickBot="1">
      <c r="A45" s="208" t="s">
        <v>25</v>
      </c>
      <c r="B45" s="209" t="s">
        <v>26</v>
      </c>
      <c r="C45" s="54">
        <v>5</v>
      </c>
      <c r="D45" s="54">
        <v>3.0000000000000001E-3</v>
      </c>
      <c r="E45" s="54">
        <v>5.0000000000000001E-3</v>
      </c>
      <c r="F45" s="54">
        <v>7.0000000000000001E-3</v>
      </c>
      <c r="G45" s="54">
        <v>8.9999999999999993E-3</v>
      </c>
      <c r="H45" s="54">
        <v>8.9999999999999993E-3</v>
      </c>
      <c r="I45" s="59">
        <v>0.03</v>
      </c>
      <c r="J45" s="57">
        <f t="shared" si="3"/>
        <v>333.33333333333337</v>
      </c>
      <c r="K45" s="207">
        <f t="shared" si="2"/>
        <v>16.666666666666671</v>
      </c>
    </row>
    <row r="46" spans="1:11" s="51" customFormat="1" ht="20.25" customHeight="1" thickBot="1">
      <c r="A46" s="208" t="s">
        <v>27</v>
      </c>
      <c r="B46" s="209" t="s">
        <v>28</v>
      </c>
      <c r="C46" s="54">
        <v>5</v>
      </c>
      <c r="D46" s="54">
        <v>0.17</v>
      </c>
      <c r="E46" s="54">
        <v>0.15</v>
      </c>
      <c r="F46" s="54">
        <v>0.13</v>
      </c>
      <c r="G46" s="54">
        <v>0.11</v>
      </c>
      <c r="H46" s="59">
        <v>0.11</v>
      </c>
      <c r="I46" s="59">
        <v>0.03</v>
      </c>
      <c r="J46" s="57">
        <f t="shared" si="3"/>
        <v>27.27272727272727</v>
      </c>
      <c r="K46" s="207">
        <f t="shared" si="2"/>
        <v>1.3636363636363635</v>
      </c>
    </row>
    <row r="47" spans="1:11" s="51" customFormat="1" ht="20.25" customHeight="1" thickBot="1">
      <c r="A47" s="208" t="s">
        <v>29</v>
      </c>
      <c r="B47" s="209" t="s">
        <v>30</v>
      </c>
      <c r="C47" s="54">
        <v>5</v>
      </c>
      <c r="D47" s="54">
        <v>0.12</v>
      </c>
      <c r="E47" s="49">
        <v>0.1</v>
      </c>
      <c r="F47" s="54">
        <v>0.08</v>
      </c>
      <c r="G47" s="54">
        <v>0.06</v>
      </c>
      <c r="H47" s="54">
        <v>0.06</v>
      </c>
      <c r="I47" s="54">
        <v>0.13</v>
      </c>
      <c r="J47" s="57">
        <f t="shared" si="3"/>
        <v>216.66666666666669</v>
      </c>
      <c r="K47" s="207">
        <f t="shared" si="2"/>
        <v>10.833333333333336</v>
      </c>
    </row>
    <row r="48" spans="1:11" s="51" customFormat="1" ht="20.25" customHeight="1" thickBot="1">
      <c r="A48" s="208" t="s">
        <v>31</v>
      </c>
      <c r="B48" s="209" t="s">
        <v>32</v>
      </c>
      <c r="C48" s="54">
        <v>10</v>
      </c>
      <c r="D48" s="54">
        <v>190.8</v>
      </c>
      <c r="E48" s="54">
        <v>120.3</v>
      </c>
      <c r="F48" s="57">
        <v>69</v>
      </c>
      <c r="G48" s="57">
        <v>69</v>
      </c>
      <c r="H48" s="57">
        <v>60</v>
      </c>
      <c r="I48" s="57">
        <v>37.56</v>
      </c>
      <c r="J48" s="57">
        <f t="shared" si="3"/>
        <v>62.6</v>
      </c>
      <c r="K48" s="207">
        <f t="shared" si="2"/>
        <v>6.26</v>
      </c>
    </row>
    <row r="49" spans="1:11" s="51" customFormat="1" ht="20.25" customHeight="1" thickBot="1">
      <c r="A49" s="208" t="s">
        <v>33</v>
      </c>
      <c r="B49" s="209" t="s">
        <v>34</v>
      </c>
      <c r="C49" s="54">
        <v>10</v>
      </c>
      <c r="D49" s="54">
        <v>75.8</v>
      </c>
      <c r="E49" s="54">
        <v>32.299999999999997</v>
      </c>
      <c r="F49" s="54">
        <v>10.4</v>
      </c>
      <c r="G49" s="54">
        <v>7.8</v>
      </c>
      <c r="H49" s="54">
        <v>7.8</v>
      </c>
      <c r="I49" s="54">
        <v>15.7</v>
      </c>
      <c r="J49" s="57">
        <f t="shared" si="3"/>
        <v>201.28205128205127</v>
      </c>
      <c r="K49" s="207">
        <f t="shared" si="2"/>
        <v>20.128205128205128</v>
      </c>
    </row>
    <row r="50" spans="1:11" s="51" customFormat="1" ht="20.25" customHeight="1" thickBot="1">
      <c r="A50" s="208" t="s">
        <v>35</v>
      </c>
      <c r="B50" s="209" t="s">
        <v>36</v>
      </c>
      <c r="C50" s="54">
        <v>5</v>
      </c>
      <c r="D50" s="54">
        <v>1.1200000000000001</v>
      </c>
      <c r="E50" s="54">
        <v>1.1100000000000001</v>
      </c>
      <c r="F50" s="54">
        <v>1.02</v>
      </c>
      <c r="G50" s="54">
        <v>1.02</v>
      </c>
      <c r="H50" s="54">
        <v>1.01</v>
      </c>
      <c r="I50" s="54">
        <v>1</v>
      </c>
      <c r="J50" s="57">
        <f t="shared" si="3"/>
        <v>99.009900990099013</v>
      </c>
      <c r="K50" s="207">
        <f t="shared" si="2"/>
        <v>4.9504950495049505</v>
      </c>
    </row>
    <row r="51" spans="1:11" s="51" customFormat="1" ht="20.25" customHeight="1" thickBot="1">
      <c r="A51" s="212" t="s">
        <v>37</v>
      </c>
      <c r="B51" s="213" t="s">
        <v>38</v>
      </c>
      <c r="C51" s="179">
        <v>10</v>
      </c>
      <c r="D51" s="179">
        <v>0</v>
      </c>
      <c r="E51" s="179">
        <v>0</v>
      </c>
      <c r="F51" s="179">
        <v>0</v>
      </c>
      <c r="G51" s="50">
        <v>0.3</v>
      </c>
      <c r="H51" s="50">
        <v>0.3</v>
      </c>
      <c r="I51" s="50">
        <v>0.5</v>
      </c>
      <c r="J51" s="214">
        <f t="shared" si="3"/>
        <v>166.66666666666669</v>
      </c>
      <c r="K51" s="215">
        <f t="shared" si="2"/>
        <v>16.666666666666671</v>
      </c>
    </row>
    <row r="52" spans="1:11" s="51" customFormat="1" ht="21.75" customHeight="1" thickBot="1">
      <c r="A52" s="373" t="s">
        <v>41</v>
      </c>
      <c r="B52" s="374"/>
      <c r="C52" s="331">
        <v>100</v>
      </c>
      <c r="D52" s="331"/>
      <c r="E52" s="331"/>
      <c r="F52" s="331"/>
      <c r="G52" s="331"/>
      <c r="H52" s="148"/>
      <c r="I52" s="148"/>
      <c r="J52" s="148"/>
      <c r="K52" s="216">
        <f>SUM(K40:K51)</f>
        <v>570.43462916767794</v>
      </c>
    </row>
    <row r="53" spans="1:11" s="51" customFormat="1" ht="25.5" customHeight="1">
      <c r="A53" s="370"/>
      <c r="B53" s="370"/>
      <c r="C53" s="370"/>
      <c r="D53" s="370"/>
      <c r="E53" s="370"/>
      <c r="F53" s="370"/>
      <c r="G53" s="370"/>
      <c r="H53" s="370"/>
      <c r="I53" s="370"/>
      <c r="J53" s="370"/>
      <c r="K53" s="370"/>
    </row>
    <row r="54" spans="1:11" s="60" customFormat="1" ht="18.75">
      <c r="B54" s="60" t="s">
        <v>239</v>
      </c>
      <c r="C54" s="61"/>
    </row>
    <row r="55" spans="1:11" s="60" customFormat="1" ht="18.75">
      <c r="B55" s="60" t="s">
        <v>240</v>
      </c>
      <c r="C55" s="371" t="s">
        <v>242</v>
      </c>
      <c r="D55" s="371"/>
      <c r="E55" s="371"/>
      <c r="F55" s="371"/>
      <c r="G55" s="371"/>
      <c r="H55" s="371"/>
      <c r="I55" s="371"/>
      <c r="J55" s="371"/>
    </row>
    <row r="56" spans="1:11" s="60" customFormat="1" ht="18.75">
      <c r="C56" s="327"/>
      <c r="D56" s="327"/>
      <c r="E56" s="327"/>
      <c r="F56" s="327"/>
    </row>
    <row r="57" spans="1:11" s="60" customFormat="1" ht="18.75">
      <c r="B57" s="60" t="s">
        <v>241</v>
      </c>
      <c r="C57" s="371" t="s">
        <v>243</v>
      </c>
      <c r="D57" s="371"/>
      <c r="E57" s="371"/>
      <c r="F57" s="371"/>
      <c r="G57" s="371"/>
      <c r="H57" s="371"/>
      <c r="I57" s="371"/>
      <c r="J57" s="371"/>
    </row>
    <row r="58" spans="1:11" s="60" customFormat="1" ht="18.75">
      <c r="C58" s="61"/>
    </row>
    <row r="59" spans="1:11" s="60" customFormat="1" ht="18.75">
      <c r="B59" s="60" t="s">
        <v>244</v>
      </c>
      <c r="C59" s="61"/>
    </row>
  </sheetData>
  <mergeCells count="16">
    <mergeCell ref="C55:J55"/>
    <mergeCell ref="C57:J57"/>
    <mergeCell ref="A34:K34"/>
    <mergeCell ref="A35:K35"/>
    <mergeCell ref="A36:K36"/>
    <mergeCell ref="A37:K37"/>
    <mergeCell ref="A52:B52"/>
    <mergeCell ref="A1:K1"/>
    <mergeCell ref="A2:K2"/>
    <mergeCell ref="A3:K3"/>
    <mergeCell ref="A4:K4"/>
    <mergeCell ref="A53:K53"/>
    <mergeCell ref="C26:I26"/>
    <mergeCell ref="C22:J22"/>
    <mergeCell ref="C24:J24"/>
    <mergeCell ref="A19:B19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1"/>
  <sheetViews>
    <sheetView topLeftCell="A16" workbookViewId="0">
      <selection activeCell="P16" sqref="P1:P1048576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29" hidden="1" customWidth="1"/>
    <col min="15" max="15" width="14.7109375" style="18" customWidth="1"/>
    <col min="16" max="16" width="9.140625" style="53"/>
  </cols>
  <sheetData>
    <row r="1" spans="1:18">
      <c r="A1" s="382" t="s">
        <v>122</v>
      </c>
      <c r="B1" s="382"/>
      <c r="C1" s="382"/>
      <c r="D1" s="382"/>
      <c r="E1" s="382"/>
    </row>
    <row r="2" spans="1:18">
      <c r="A2" s="382" t="s">
        <v>3</v>
      </c>
      <c r="B2" s="382"/>
      <c r="C2" s="382"/>
      <c r="D2" s="382"/>
      <c r="E2" s="382"/>
    </row>
    <row r="3" spans="1:18" ht="18.75">
      <c r="A3" s="383" t="s">
        <v>58</v>
      </c>
      <c r="B3" s="383"/>
      <c r="C3" s="383"/>
      <c r="D3" s="383"/>
      <c r="E3" s="383"/>
    </row>
    <row r="4" spans="1:18" ht="18.75">
      <c r="A4" s="383" t="s">
        <v>185</v>
      </c>
      <c r="B4" s="383"/>
      <c r="C4" s="383"/>
      <c r="D4" s="383"/>
      <c r="E4" s="383"/>
    </row>
    <row r="5" spans="1:18" ht="16.5" thickBot="1">
      <c r="A5" s="1" t="s">
        <v>62</v>
      </c>
      <c r="B5" s="1"/>
    </row>
    <row r="6" spans="1:18" ht="33.75" customHeight="1" thickBot="1">
      <c r="A6" s="5" t="s">
        <v>7</v>
      </c>
      <c r="B6" s="10" t="s">
        <v>207</v>
      </c>
      <c r="C6" s="5" t="s">
        <v>59</v>
      </c>
      <c r="D6" s="5" t="s">
        <v>186</v>
      </c>
      <c r="E6" s="5" t="s">
        <v>60</v>
      </c>
      <c r="G6" s="32" t="s">
        <v>218</v>
      </c>
      <c r="H6" s="32" t="s">
        <v>219</v>
      </c>
      <c r="I6" s="32" t="s">
        <v>220</v>
      </c>
      <c r="J6" s="32" t="s">
        <v>221</v>
      </c>
      <c r="K6" s="32" t="s">
        <v>246</v>
      </c>
      <c r="L6" s="32" t="s">
        <v>250</v>
      </c>
      <c r="M6" s="32" t="s">
        <v>251</v>
      </c>
      <c r="N6" s="130" t="s">
        <v>264</v>
      </c>
      <c r="O6" s="32" t="s">
        <v>285</v>
      </c>
    </row>
    <row r="7" spans="1:18" ht="22.5" customHeight="1">
      <c r="A7" s="375" t="s">
        <v>43</v>
      </c>
      <c r="B7" s="23">
        <f>B8/B9</f>
        <v>0.64885823725658742</v>
      </c>
      <c r="C7" s="8" t="s">
        <v>123</v>
      </c>
      <c r="D7" s="384" t="s">
        <v>126</v>
      </c>
      <c r="E7" s="378" t="s">
        <v>127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7">
        <f>K8/K9</f>
        <v>0.71195746860381792</v>
      </c>
      <c r="L7" s="107">
        <v>0.35</v>
      </c>
      <c r="M7" s="107">
        <f>M8/M9</f>
        <v>0.37179061227974441</v>
      </c>
      <c r="N7" s="107">
        <f>N8/N9</f>
        <v>0.45866974611840217</v>
      </c>
      <c r="O7" s="125">
        <f>O8/O9</f>
        <v>0.58519911146806491</v>
      </c>
      <c r="Q7" s="53"/>
      <c r="R7" s="53"/>
    </row>
    <row r="8" spans="1:18" ht="36" customHeight="1">
      <c r="A8" s="376"/>
      <c r="B8" s="12">
        <v>7373516</v>
      </c>
      <c r="C8" s="8" t="s">
        <v>124</v>
      </c>
      <c r="D8" s="384"/>
      <c r="E8" s="378"/>
      <c r="F8" s="31"/>
      <c r="G8" s="34">
        <v>6903550</v>
      </c>
      <c r="H8" s="34">
        <v>7140299</v>
      </c>
      <c r="I8" s="65">
        <v>7373516</v>
      </c>
      <c r="J8" s="34">
        <v>7606733</v>
      </c>
      <c r="K8" s="108">
        <v>8696008</v>
      </c>
      <c r="L8" s="108"/>
      <c r="M8" s="69">
        <v>9924721</v>
      </c>
      <c r="N8" s="137">
        <v>12210334</v>
      </c>
      <c r="O8" s="220">
        <v>32195398</v>
      </c>
      <c r="Q8" s="53"/>
    </row>
    <row r="9" spans="1:18" ht="51" customHeight="1">
      <c r="A9" s="377"/>
      <c r="B9" s="13">
        <v>11363832</v>
      </c>
      <c r="C9" s="8" t="s">
        <v>125</v>
      </c>
      <c r="D9" s="384"/>
      <c r="E9" s="378"/>
      <c r="F9" s="31"/>
      <c r="G9" s="34">
        <v>11345082</v>
      </c>
      <c r="H9" s="34">
        <v>11339567</v>
      </c>
      <c r="I9" s="65">
        <v>11363832</v>
      </c>
      <c r="J9" s="65">
        <f>(J11-I11)+I9</f>
        <v>11377289</v>
      </c>
      <c r="K9" s="108">
        <v>12214224</v>
      </c>
      <c r="L9" s="108"/>
      <c r="M9" s="69">
        <v>26694383</v>
      </c>
      <c r="N9" s="137">
        <v>26621189</v>
      </c>
      <c r="O9" s="220">
        <v>55016143</v>
      </c>
      <c r="Q9" s="53"/>
    </row>
    <row r="10" spans="1:18" ht="21" customHeight="1">
      <c r="A10" s="375" t="s">
        <v>44</v>
      </c>
      <c r="B10" s="24">
        <f>B11/B12</f>
        <v>2.772128275039617E-3</v>
      </c>
      <c r="C10" s="9" t="s">
        <v>128</v>
      </c>
      <c r="D10" s="375" t="s">
        <v>187</v>
      </c>
      <c r="E10" s="378" t="s">
        <v>131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09">
        <f>K11/K12</f>
        <v>0</v>
      </c>
      <c r="L10" s="109">
        <v>8.5199999999999998E-2</v>
      </c>
      <c r="M10" s="110">
        <f>M11/M12</f>
        <v>0.87628349337034939</v>
      </c>
      <c r="N10" s="109">
        <f>N11/N12</f>
        <v>4.721465797830871E-3</v>
      </c>
      <c r="O10" s="126">
        <f>O11/O12</f>
        <v>0.16859778241244971</v>
      </c>
      <c r="R10" s="53"/>
    </row>
    <row r="11" spans="1:18" ht="53.25" customHeight="1">
      <c r="A11" s="376"/>
      <c r="B11" s="22">
        <v>31502</v>
      </c>
      <c r="C11" s="6" t="s">
        <v>129</v>
      </c>
      <c r="D11" s="376"/>
      <c r="E11" s="378"/>
      <c r="F11" s="31"/>
      <c r="G11" s="34">
        <v>4032</v>
      </c>
      <c r="H11" s="34">
        <v>6702</v>
      </c>
      <c r="I11" s="67">
        <v>31502</v>
      </c>
      <c r="J11" s="34">
        <f>31502+13457</f>
        <v>44959</v>
      </c>
      <c r="K11" s="111">
        <v>0</v>
      </c>
      <c r="L11" s="111">
        <v>0</v>
      </c>
      <c r="M11" s="111">
        <v>14694978</v>
      </c>
      <c r="N11" s="117">
        <v>68040.358999999997</v>
      </c>
      <c r="O11" s="220">
        <v>3847527</v>
      </c>
      <c r="Q11" s="53"/>
    </row>
    <row r="12" spans="1:18" ht="62.25" customHeight="1">
      <c r="A12" s="377"/>
      <c r="B12" s="14">
        <v>11363832</v>
      </c>
      <c r="C12" s="6" t="s">
        <v>130</v>
      </c>
      <c r="D12" s="377"/>
      <c r="E12" s="378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1">
        <v>3518216</v>
      </c>
      <c r="L12" s="111"/>
      <c r="M12" s="111">
        <v>16769662</v>
      </c>
      <c r="N12" s="108">
        <v>14410855</v>
      </c>
      <c r="O12" s="230">
        <v>22820745</v>
      </c>
      <c r="Q12" s="53"/>
    </row>
    <row r="13" spans="1:18" ht="17.25" customHeight="1">
      <c r="A13" s="378" t="s">
        <v>45</v>
      </c>
      <c r="B13" s="15">
        <f>B14/B15</f>
        <v>124041.05753968254</v>
      </c>
      <c r="C13" s="6" t="s">
        <v>132</v>
      </c>
      <c r="D13" s="378" t="s">
        <v>188</v>
      </c>
      <c r="E13" s="379" t="s">
        <v>189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2">
        <f>K14/K15</f>
        <v>86176.022429906545</v>
      </c>
      <c r="L13" s="112">
        <v>11464</v>
      </c>
      <c r="M13" s="112">
        <f>M14/M15</f>
        <v>175659.93835616438</v>
      </c>
      <c r="N13" s="112">
        <f>N14/N15</f>
        <v>209348.81227436822</v>
      </c>
      <c r="O13" s="127">
        <f>O14/O15</f>
        <v>494145.22739726026</v>
      </c>
      <c r="R13" s="53"/>
    </row>
    <row r="14" spans="1:18" ht="66.75" customHeight="1">
      <c r="A14" s="378"/>
      <c r="B14" s="14">
        <v>62516693</v>
      </c>
      <c r="C14" s="6" t="s">
        <v>133</v>
      </c>
      <c r="D14" s="378"/>
      <c r="E14" s="379"/>
      <c r="F14" s="31"/>
      <c r="G14" s="34">
        <v>17693919</v>
      </c>
      <c r="H14" s="34">
        <v>38811034</v>
      </c>
      <c r="I14" s="65">
        <v>62516693</v>
      </c>
      <c r="J14" s="36">
        <f>I14/3*4</f>
        <v>83355590.666666672</v>
      </c>
      <c r="K14" s="108">
        <v>46104172</v>
      </c>
      <c r="L14" s="108"/>
      <c r="M14" s="113">
        <v>102585404</v>
      </c>
      <c r="N14" s="138">
        <v>115979242</v>
      </c>
      <c r="O14" s="138">
        <v>180363008</v>
      </c>
      <c r="Q14" s="53"/>
      <c r="R14" s="53"/>
    </row>
    <row r="15" spans="1:18" ht="81" customHeight="1">
      <c r="A15" s="378"/>
      <c r="B15" s="22">
        <v>504</v>
      </c>
      <c r="C15" s="52" t="s">
        <v>134</v>
      </c>
      <c r="D15" s="378"/>
      <c r="E15" s="379"/>
      <c r="F15" s="31"/>
      <c r="G15" s="34">
        <v>535</v>
      </c>
      <c r="H15" s="34">
        <v>535</v>
      </c>
      <c r="I15" s="67">
        <v>535</v>
      </c>
      <c r="J15" s="67">
        <v>535</v>
      </c>
      <c r="K15" s="108">
        <v>535</v>
      </c>
      <c r="L15" s="108"/>
      <c r="M15" s="69">
        <v>584</v>
      </c>
      <c r="N15" s="137">
        <v>554</v>
      </c>
      <c r="O15" s="220">
        <v>365</v>
      </c>
      <c r="Q15" s="53"/>
      <c r="R15" s="53"/>
    </row>
    <row r="16" spans="1:18">
      <c r="A16" s="378" t="s">
        <v>46</v>
      </c>
      <c r="B16" s="17">
        <f>B17/B19</f>
        <v>5.5058848137383141</v>
      </c>
      <c r="C16" s="6" t="s">
        <v>135</v>
      </c>
      <c r="D16" s="378" t="s">
        <v>140</v>
      </c>
      <c r="E16" s="378" t="s">
        <v>141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4">
        <f>K17/K19</f>
        <v>12.236121983362239</v>
      </c>
      <c r="L16" s="114">
        <v>6.3</v>
      </c>
      <c r="M16" s="114">
        <f>M17/M19</f>
        <v>9.8700574079379155</v>
      </c>
      <c r="N16" s="114">
        <f>N17/N19</f>
        <v>7.153798324422433</v>
      </c>
      <c r="O16" s="221">
        <f>O17/O19</f>
        <v>8.0776872815114622</v>
      </c>
      <c r="Q16" s="53"/>
      <c r="R16" s="53"/>
    </row>
    <row r="17" spans="1:18" s="86" customFormat="1" ht="59.25" customHeight="1">
      <c r="A17" s="378"/>
      <c r="B17" s="91">
        <v>62516693</v>
      </c>
      <c r="C17" s="82" t="s">
        <v>261</v>
      </c>
      <c r="D17" s="378"/>
      <c r="E17" s="378"/>
      <c r="F17" s="92"/>
      <c r="G17" s="85">
        <f>G14</f>
        <v>17693919</v>
      </c>
      <c r="H17" s="85">
        <f>H14</f>
        <v>38811034</v>
      </c>
      <c r="I17" s="85">
        <f t="shared" ref="I17:J17" si="2">I14</f>
        <v>62516693</v>
      </c>
      <c r="J17" s="122">
        <f t="shared" si="2"/>
        <v>83355590.666666672</v>
      </c>
      <c r="K17" s="118">
        <f>K14</f>
        <v>46104172</v>
      </c>
      <c r="L17" s="118">
        <f>L14</f>
        <v>0</v>
      </c>
      <c r="M17" s="123">
        <f>M14</f>
        <v>102585404</v>
      </c>
      <c r="N17" s="139">
        <f>N14</f>
        <v>115979242</v>
      </c>
      <c r="O17" s="139">
        <f>O14</f>
        <v>180363008</v>
      </c>
      <c r="P17" s="218"/>
      <c r="Q17" s="218"/>
      <c r="R17" s="218"/>
    </row>
    <row r="18" spans="1:18" ht="39">
      <c r="A18" s="378"/>
      <c r="B18" s="14"/>
      <c r="C18" s="6" t="s">
        <v>137</v>
      </c>
      <c r="D18" s="378"/>
      <c r="E18" s="378"/>
      <c r="F18" s="31"/>
      <c r="G18" s="34"/>
      <c r="H18" s="34"/>
      <c r="I18" s="65"/>
      <c r="J18" s="34"/>
      <c r="K18" s="69"/>
      <c r="L18" s="69"/>
      <c r="M18" s="69"/>
      <c r="N18" s="137"/>
      <c r="O18" s="124"/>
      <c r="Q18" s="53"/>
    </row>
    <row r="19" spans="1:18">
      <c r="A19" s="378"/>
      <c r="B19" s="15">
        <f>(11345213+11363832)/2</f>
        <v>11354522.5</v>
      </c>
      <c r="C19" s="6" t="s">
        <v>138</v>
      </c>
      <c r="D19" s="378"/>
      <c r="E19" s="378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8">
        <f>(4017533+3518216)/2</f>
        <v>3767874.5</v>
      </c>
      <c r="L19" s="108"/>
      <c r="M19" s="113">
        <f>(4017533+16769662)/2</f>
        <v>10393597.5</v>
      </c>
      <c r="N19" s="138">
        <f>(18013666+14410855)/2</f>
        <v>16212260.5</v>
      </c>
      <c r="O19" s="138">
        <f>(21836346+O12)/2</f>
        <v>22328545.5</v>
      </c>
      <c r="Q19" s="53"/>
    </row>
    <row r="20" spans="1:18" ht="43.5" customHeight="1">
      <c r="A20" s="378"/>
      <c r="B20" s="14"/>
      <c r="C20" s="6" t="s">
        <v>139</v>
      </c>
      <c r="D20" s="378"/>
      <c r="E20" s="378"/>
      <c r="F20" s="31"/>
      <c r="G20" s="34"/>
      <c r="H20" s="34"/>
      <c r="I20" s="65"/>
      <c r="J20" s="34"/>
      <c r="K20" s="69"/>
      <c r="L20" s="69"/>
      <c r="M20" s="69"/>
      <c r="N20" s="137"/>
      <c r="O20" s="124"/>
      <c r="Q20" s="53"/>
    </row>
    <row r="21" spans="1:18" ht="26.25">
      <c r="A21" s="378" t="s">
        <v>47</v>
      </c>
      <c r="B21" s="17">
        <f>B22/B23</f>
        <v>0.7</v>
      </c>
      <c r="C21" s="6" t="s">
        <v>142</v>
      </c>
      <c r="D21" s="378" t="s">
        <v>146</v>
      </c>
      <c r="E21" s="378" t="s">
        <v>147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5">
        <f>K22/K23</f>
        <v>0.71</v>
      </c>
      <c r="L21" s="115">
        <v>0.71</v>
      </c>
      <c r="M21" s="116">
        <f>M22/M23</f>
        <v>0.86399999999999999</v>
      </c>
      <c r="N21" s="107">
        <f>N22/N23</f>
        <v>0.86599999999999999</v>
      </c>
      <c r="O21" s="116">
        <f>O22/O23</f>
        <v>0.88200000000000012</v>
      </c>
      <c r="R21" s="53"/>
    </row>
    <row r="22" spans="1:18" ht="39">
      <c r="A22" s="378"/>
      <c r="B22" s="14">
        <v>62516693</v>
      </c>
      <c r="C22" s="6" t="s">
        <v>143</v>
      </c>
      <c r="D22" s="378"/>
      <c r="E22" s="378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8">
        <v>46104172</v>
      </c>
      <c r="L22" s="108"/>
      <c r="M22" s="113">
        <f>M17</f>
        <v>102585404</v>
      </c>
      <c r="N22" s="138">
        <f>N17</f>
        <v>115979242</v>
      </c>
      <c r="O22" s="138">
        <f>O17</f>
        <v>180363008</v>
      </c>
      <c r="Q22" s="53"/>
    </row>
    <row r="23" spans="1:18" ht="77.25">
      <c r="A23" s="378"/>
      <c r="B23" s="25">
        <f>B22/70*100</f>
        <v>89309561.428571433</v>
      </c>
      <c r="C23" s="6" t="s">
        <v>215</v>
      </c>
      <c r="D23" s="378"/>
      <c r="E23" s="378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7">
        <f>K22/71*100</f>
        <v>64935453.521126762</v>
      </c>
      <c r="L23" s="117"/>
      <c r="M23" s="113">
        <f>M22/86.4*100</f>
        <v>118733106.48148148</v>
      </c>
      <c r="N23" s="138">
        <f>N22/86.6*100</f>
        <v>133925221.70900694</v>
      </c>
      <c r="O23" s="138">
        <f>O22/88.2*100</f>
        <v>204493206.34920633</v>
      </c>
      <c r="Q23" s="53"/>
    </row>
    <row r="24" spans="1:18" ht="26.25">
      <c r="A24" s="378"/>
      <c r="B24" s="14">
        <v>0</v>
      </c>
      <c r="C24" s="6" t="s">
        <v>144</v>
      </c>
      <c r="D24" s="378"/>
      <c r="E24" s="378"/>
      <c r="F24" s="31"/>
      <c r="G24" s="65">
        <v>0</v>
      </c>
      <c r="H24" s="65">
        <v>0</v>
      </c>
      <c r="I24" s="65">
        <v>0</v>
      </c>
      <c r="J24" s="65">
        <v>0</v>
      </c>
      <c r="K24" s="69"/>
      <c r="L24" s="69"/>
      <c r="M24" s="69"/>
      <c r="N24" s="137"/>
      <c r="O24" s="69"/>
      <c r="Q24" s="53"/>
    </row>
    <row r="25" spans="1:18" ht="32.25" customHeight="1">
      <c r="A25" s="378"/>
      <c r="B25" s="14">
        <v>0</v>
      </c>
      <c r="C25" s="6" t="s">
        <v>145</v>
      </c>
      <c r="D25" s="378"/>
      <c r="E25" s="378"/>
      <c r="F25" s="31"/>
      <c r="G25" s="65">
        <v>0</v>
      </c>
      <c r="H25" s="65">
        <v>0</v>
      </c>
      <c r="I25" s="65">
        <v>0</v>
      </c>
      <c r="J25" s="65">
        <v>0</v>
      </c>
      <c r="K25" s="69"/>
      <c r="L25" s="69"/>
      <c r="M25" s="69"/>
      <c r="N25" s="137"/>
      <c r="O25" s="69"/>
      <c r="Q25" s="53"/>
    </row>
    <row r="26" spans="1:18">
      <c r="A26" s="378" t="s">
        <v>48</v>
      </c>
      <c r="B26" s="16">
        <f>B27/B28</f>
        <v>1.8199763213522492E-2</v>
      </c>
      <c r="C26" s="6" t="s">
        <v>148</v>
      </c>
      <c r="D26" s="375" t="s">
        <v>190</v>
      </c>
      <c r="E26" s="378" t="s">
        <v>151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5">
        <f>K27/K28</f>
        <v>2.9000000000000005E-2</v>
      </c>
      <c r="L26" s="115">
        <v>2.8000000000000001E-2</v>
      </c>
      <c r="M26" s="110">
        <f>M27/M28</f>
        <v>2.75E-2</v>
      </c>
      <c r="N26" s="110">
        <f>N27/N28</f>
        <v>2.7500000000000004E-2</v>
      </c>
      <c r="O26" s="222">
        <f>O27/O28</f>
        <v>2.75E-2</v>
      </c>
      <c r="R26" s="53"/>
    </row>
    <row r="27" spans="1:18" ht="58.5" customHeight="1">
      <c r="A27" s="378"/>
      <c r="B27" s="14">
        <v>1018215</v>
      </c>
      <c r="C27" s="6" t="s">
        <v>149</v>
      </c>
      <c r="D27" s="376"/>
      <c r="E27" s="378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7">
        <f>K28*0.029</f>
        <v>1106951.3730000001</v>
      </c>
      <c r="L27" s="117"/>
      <c r="M27" s="69">
        <f>M28*0.0275</f>
        <v>2446126.1</v>
      </c>
      <c r="N27" s="138">
        <f>N28*0.0275</f>
        <v>2811749.5725000002</v>
      </c>
      <c r="O27" s="138">
        <f>O28*0.0275</f>
        <v>4578825.2949999999</v>
      </c>
      <c r="Q27" s="53"/>
    </row>
    <row r="28" spans="1:18" ht="32.25" customHeight="1">
      <c r="A28" s="378"/>
      <c r="B28" s="14">
        <v>55946607</v>
      </c>
      <c r="C28" s="6" t="s">
        <v>150</v>
      </c>
      <c r="D28" s="377"/>
      <c r="E28" s="378"/>
      <c r="F28" s="31"/>
      <c r="G28" s="34">
        <v>15607606</v>
      </c>
      <c r="H28" s="34">
        <v>34594331</v>
      </c>
      <c r="I28" s="65">
        <v>55946607</v>
      </c>
      <c r="J28" s="34">
        <f>I28/3*4</f>
        <v>74595476</v>
      </c>
      <c r="K28" s="108">
        <v>38170737</v>
      </c>
      <c r="L28" s="108"/>
      <c r="M28" s="69">
        <v>88950040</v>
      </c>
      <c r="N28" s="137">
        <v>102245439</v>
      </c>
      <c r="O28" s="220">
        <v>166502738</v>
      </c>
      <c r="Q28" s="53"/>
    </row>
    <row r="29" spans="1:18">
      <c r="A29" s="378" t="s">
        <v>49</v>
      </c>
      <c r="B29" s="14"/>
      <c r="C29" s="6" t="s">
        <v>152</v>
      </c>
      <c r="D29" s="3" t="s">
        <v>156</v>
      </c>
      <c r="E29" s="378" t="s">
        <v>160</v>
      </c>
      <c r="F29" s="31"/>
      <c r="G29" s="34"/>
      <c r="H29" s="34"/>
      <c r="I29" s="65"/>
      <c r="J29" s="34"/>
      <c r="K29" s="69"/>
      <c r="L29" s="69"/>
      <c r="M29" s="69">
        <v>0</v>
      </c>
      <c r="N29" s="137">
        <v>0</v>
      </c>
      <c r="O29" s="69">
        <v>0</v>
      </c>
    </row>
    <row r="30" spans="1:18" ht="26.25">
      <c r="A30" s="378"/>
      <c r="B30" s="14">
        <v>0</v>
      </c>
      <c r="C30" s="6" t="s">
        <v>153</v>
      </c>
      <c r="D30" s="3" t="s">
        <v>157</v>
      </c>
      <c r="E30" s="378"/>
      <c r="F30" s="31"/>
      <c r="G30" s="65">
        <v>0</v>
      </c>
      <c r="H30" s="65">
        <v>0</v>
      </c>
      <c r="I30" s="65">
        <v>0</v>
      </c>
      <c r="J30" s="65">
        <v>0</v>
      </c>
      <c r="K30" s="108">
        <v>0</v>
      </c>
      <c r="L30" s="108">
        <v>0</v>
      </c>
      <c r="M30" s="69"/>
      <c r="N30" s="137"/>
      <c r="O30" s="69"/>
    </row>
    <row r="31" spans="1:18" ht="26.25">
      <c r="A31" s="378"/>
      <c r="B31" s="14">
        <v>0</v>
      </c>
      <c r="C31" s="6" t="s">
        <v>154</v>
      </c>
      <c r="D31" s="3" t="s">
        <v>158</v>
      </c>
      <c r="E31" s="378"/>
      <c r="F31" s="31"/>
      <c r="G31" s="65">
        <v>0</v>
      </c>
      <c r="H31" s="65">
        <v>0</v>
      </c>
      <c r="I31" s="65">
        <v>0</v>
      </c>
      <c r="J31" s="65">
        <v>0</v>
      </c>
      <c r="K31" s="108">
        <v>0</v>
      </c>
      <c r="L31" s="108">
        <v>0</v>
      </c>
      <c r="M31" s="69"/>
      <c r="N31" s="137"/>
      <c r="O31" s="69"/>
    </row>
    <row r="32" spans="1:18" ht="38.25">
      <c r="A32" s="378"/>
      <c r="C32" s="5" t="s">
        <v>155</v>
      </c>
      <c r="D32" s="3" t="s">
        <v>159</v>
      </c>
      <c r="E32" s="378"/>
      <c r="F32" s="31"/>
      <c r="G32" s="69"/>
      <c r="H32" s="69"/>
      <c r="I32" s="69"/>
      <c r="J32" s="34"/>
      <c r="K32" s="108"/>
      <c r="L32" s="108"/>
      <c r="M32" s="69"/>
      <c r="N32" s="137"/>
      <c r="O32" s="69"/>
    </row>
    <row r="33" spans="1:18">
      <c r="A33" s="378" t="s">
        <v>161</v>
      </c>
      <c r="B33" s="14"/>
      <c r="C33" s="6" t="s">
        <v>162</v>
      </c>
      <c r="D33" s="378" t="s">
        <v>166</v>
      </c>
      <c r="E33" s="378" t="s">
        <v>167</v>
      </c>
      <c r="F33" s="31"/>
      <c r="G33" s="65"/>
      <c r="H33" s="65"/>
      <c r="I33" s="65"/>
      <c r="J33" s="34"/>
      <c r="K33" s="108"/>
      <c r="L33" s="108"/>
      <c r="M33" s="69">
        <v>0</v>
      </c>
      <c r="N33" s="137">
        <v>0</v>
      </c>
      <c r="O33" s="69">
        <v>0</v>
      </c>
    </row>
    <row r="34" spans="1:18" ht="26.25">
      <c r="A34" s="378"/>
      <c r="B34" s="14">
        <v>0</v>
      </c>
      <c r="C34" s="6" t="s">
        <v>163</v>
      </c>
      <c r="D34" s="378"/>
      <c r="E34" s="378"/>
      <c r="F34" s="31"/>
      <c r="G34" s="65">
        <v>0</v>
      </c>
      <c r="H34" s="65">
        <v>0</v>
      </c>
      <c r="I34" s="65">
        <v>0</v>
      </c>
      <c r="J34" s="65">
        <v>0</v>
      </c>
      <c r="K34" s="108">
        <v>0</v>
      </c>
      <c r="L34" s="108">
        <v>0</v>
      </c>
      <c r="M34" s="69"/>
      <c r="N34" s="137"/>
      <c r="O34" s="69"/>
    </row>
    <row r="35" spans="1:18">
      <c r="A35" s="378"/>
      <c r="B35" s="14">
        <v>0</v>
      </c>
      <c r="C35" s="6" t="s">
        <v>164</v>
      </c>
      <c r="D35" s="378"/>
      <c r="E35" s="378"/>
      <c r="F35" s="31"/>
      <c r="G35" s="65">
        <v>0</v>
      </c>
      <c r="H35" s="65">
        <v>0</v>
      </c>
      <c r="I35" s="65">
        <v>0</v>
      </c>
      <c r="J35" s="65">
        <v>0</v>
      </c>
      <c r="K35" s="108">
        <v>0</v>
      </c>
      <c r="L35" s="108">
        <v>0</v>
      </c>
      <c r="M35" s="69"/>
      <c r="N35" s="137"/>
      <c r="O35" s="69"/>
    </row>
    <row r="36" spans="1:18" ht="38.25">
      <c r="A36" s="378"/>
      <c r="B36" s="14"/>
      <c r="C36" s="5" t="s">
        <v>165</v>
      </c>
      <c r="D36" s="378"/>
      <c r="E36" s="378"/>
      <c r="F36" s="31"/>
      <c r="G36" s="34"/>
      <c r="H36" s="34"/>
      <c r="I36" s="65"/>
      <c r="J36" s="34"/>
      <c r="K36" s="69"/>
      <c r="L36" s="69"/>
      <c r="M36" s="69"/>
      <c r="N36" s="137"/>
      <c r="O36" s="69"/>
    </row>
    <row r="37" spans="1:18" ht="18" customHeight="1">
      <c r="A37" s="378" t="s">
        <v>51</v>
      </c>
      <c r="B37" s="17">
        <f>B38/B39</f>
        <v>15.782976190476191</v>
      </c>
      <c r="C37" s="6" t="s">
        <v>168</v>
      </c>
      <c r="D37" s="375" t="s">
        <v>193</v>
      </c>
      <c r="E37" s="375" t="s">
        <v>170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4">
        <f>K38/K39</f>
        <v>11.398971962616821</v>
      </c>
      <c r="L37" s="114">
        <v>8.9</v>
      </c>
      <c r="M37" s="114">
        <f>M38/M39</f>
        <v>17.979452054794521</v>
      </c>
      <c r="N37" s="114">
        <f>N38/N39</f>
        <v>19.542719614921779</v>
      </c>
      <c r="O37" s="221">
        <f>O38/O39</f>
        <v>75.295890410958904</v>
      </c>
      <c r="R37" s="53"/>
    </row>
    <row r="38" spans="1:18" ht="26.25">
      <c r="A38" s="378"/>
      <c r="B38" s="15">
        <v>7954.62</v>
      </c>
      <c r="C38" s="6" t="s">
        <v>169</v>
      </c>
      <c r="D38" s="376"/>
      <c r="E38" s="376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8">
        <v>6098.45</v>
      </c>
      <c r="L38" s="108"/>
      <c r="M38" s="69">
        <v>10500</v>
      </c>
      <c r="N38" s="138">
        <f>8120/3*4</f>
        <v>10826.666666666666</v>
      </c>
      <c r="O38" s="220">
        <v>27483</v>
      </c>
    </row>
    <row r="39" spans="1:18" ht="29.25" customHeight="1">
      <c r="A39" s="378"/>
      <c r="B39" s="14">
        <v>504</v>
      </c>
      <c r="C39" s="6" t="s">
        <v>134</v>
      </c>
      <c r="D39" s="377"/>
      <c r="E39" s="377"/>
      <c r="F39" s="31"/>
      <c r="G39" s="34">
        <v>535</v>
      </c>
      <c r="H39" s="34">
        <v>535</v>
      </c>
      <c r="I39" s="65">
        <v>535</v>
      </c>
      <c r="J39" s="34">
        <v>535</v>
      </c>
      <c r="K39" s="108">
        <v>535</v>
      </c>
      <c r="L39" s="108"/>
      <c r="M39" s="69">
        <v>584</v>
      </c>
      <c r="N39" s="137">
        <v>554</v>
      </c>
      <c r="O39" s="220">
        <f>O15</f>
        <v>365</v>
      </c>
    </row>
    <row r="40" spans="1:18" ht="21.75" customHeight="1">
      <c r="A40" s="378" t="s">
        <v>52</v>
      </c>
      <c r="B40" s="16">
        <f>509/498</f>
        <v>1.0220883534136547</v>
      </c>
      <c r="C40" s="6" t="s">
        <v>171</v>
      </c>
      <c r="D40" s="378" t="s">
        <v>173</v>
      </c>
      <c r="E40" s="378" t="s">
        <v>174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7">
        <f>554/712</f>
        <v>0.7780898876404494</v>
      </c>
      <c r="L40" s="107">
        <v>0.91</v>
      </c>
      <c r="M40" s="107">
        <f>576/554</f>
        <v>1.03971119133574</v>
      </c>
      <c r="N40" s="107">
        <f>554/620</f>
        <v>0.8935483870967742</v>
      </c>
      <c r="O40" s="125">
        <f>554/510</f>
        <v>1.0862745098039215</v>
      </c>
    </row>
    <row r="41" spans="1:18" s="90" customFormat="1" ht="45" customHeight="1">
      <c r="A41" s="378"/>
      <c r="B41" s="87" t="s">
        <v>232</v>
      </c>
      <c r="C41" s="119" t="s">
        <v>260</v>
      </c>
      <c r="D41" s="378"/>
      <c r="E41" s="378"/>
      <c r="F41" s="88"/>
      <c r="G41" s="89" t="s">
        <v>231</v>
      </c>
      <c r="H41" s="89" t="s">
        <v>234</v>
      </c>
      <c r="I41" s="87" t="s">
        <v>235</v>
      </c>
      <c r="J41" s="89" t="s">
        <v>233</v>
      </c>
      <c r="K41" s="120" t="s">
        <v>248</v>
      </c>
      <c r="L41" s="120"/>
      <c r="M41" s="121" t="s">
        <v>252</v>
      </c>
      <c r="N41" s="140" t="s">
        <v>265</v>
      </c>
      <c r="O41" s="140" t="s">
        <v>290</v>
      </c>
      <c r="P41" s="223"/>
    </row>
    <row r="42" spans="1:18" ht="68.25" customHeight="1">
      <c r="A42" s="3" t="s">
        <v>175</v>
      </c>
      <c r="B42" s="14">
        <v>0</v>
      </c>
      <c r="C42" s="3" t="s">
        <v>176</v>
      </c>
      <c r="D42" s="3" t="s">
        <v>177</v>
      </c>
      <c r="E42" s="3" t="s">
        <v>121</v>
      </c>
      <c r="F42" s="31"/>
      <c r="G42" s="65">
        <v>0</v>
      </c>
      <c r="H42" s="65">
        <v>0</v>
      </c>
      <c r="I42" s="65">
        <v>0</v>
      </c>
      <c r="J42" s="65">
        <v>0</v>
      </c>
      <c r="K42" s="69">
        <v>0</v>
      </c>
      <c r="L42" s="69">
        <v>0</v>
      </c>
      <c r="M42" s="69">
        <v>0</v>
      </c>
      <c r="N42" s="137">
        <v>0</v>
      </c>
      <c r="O42" s="69">
        <v>0</v>
      </c>
    </row>
    <row r="43" spans="1:18" ht="79.5" customHeight="1">
      <c r="A43" s="14" t="s">
        <v>216</v>
      </c>
      <c r="B43" s="14">
        <v>0</v>
      </c>
      <c r="C43" s="3" t="s">
        <v>178</v>
      </c>
      <c r="D43" s="3" t="s">
        <v>177</v>
      </c>
      <c r="E43" s="3" t="s">
        <v>121</v>
      </c>
      <c r="F43" s="31"/>
      <c r="G43" s="65">
        <v>0</v>
      </c>
      <c r="H43" s="65">
        <v>0</v>
      </c>
      <c r="I43" s="65">
        <v>0</v>
      </c>
      <c r="J43" s="65">
        <v>0</v>
      </c>
      <c r="K43" s="69">
        <v>0</v>
      </c>
      <c r="L43" s="69">
        <v>0</v>
      </c>
      <c r="M43" s="69">
        <v>0</v>
      </c>
      <c r="N43" s="137">
        <v>0</v>
      </c>
      <c r="O43" s="69">
        <v>0</v>
      </c>
    </row>
    <row r="44" spans="1:18" ht="54.75" customHeight="1">
      <c r="A44" s="3" t="s">
        <v>55</v>
      </c>
      <c r="B44" s="14">
        <v>0</v>
      </c>
      <c r="C44" s="3" t="s">
        <v>179</v>
      </c>
      <c r="D44" s="3" t="s">
        <v>177</v>
      </c>
      <c r="E44" s="3" t="s">
        <v>121</v>
      </c>
      <c r="F44" s="31"/>
      <c r="G44" s="65">
        <v>0</v>
      </c>
      <c r="H44" s="65">
        <v>0</v>
      </c>
      <c r="I44" s="65">
        <v>0</v>
      </c>
      <c r="J44" s="65">
        <v>0</v>
      </c>
      <c r="K44" s="69">
        <v>0</v>
      </c>
      <c r="L44" s="69">
        <v>0</v>
      </c>
      <c r="M44" s="69">
        <v>0</v>
      </c>
      <c r="N44" s="137">
        <v>0</v>
      </c>
      <c r="O44" s="69">
        <v>0</v>
      </c>
    </row>
    <row r="45" spans="1:18" ht="15.75">
      <c r="A45" s="4" t="s">
        <v>62</v>
      </c>
      <c r="B45" s="4"/>
      <c r="C45" s="2"/>
      <c r="D45" s="2"/>
      <c r="E45" s="2"/>
      <c r="N45" s="141"/>
    </row>
    <row r="46" spans="1:18" ht="15.75">
      <c r="A46" s="4"/>
      <c r="B46" s="4"/>
      <c r="C46" s="2"/>
      <c r="D46" s="2"/>
      <c r="E46" s="2"/>
      <c r="N46" s="141"/>
    </row>
    <row r="47" spans="1:18" ht="15.75">
      <c r="A47" s="380" t="s">
        <v>191</v>
      </c>
      <c r="B47" s="380"/>
      <c r="C47" s="380"/>
      <c r="D47" s="380"/>
      <c r="E47" s="380"/>
      <c r="N47" s="141"/>
    </row>
    <row r="48" spans="1:18" ht="15.75">
      <c r="A48" s="385" t="s">
        <v>192</v>
      </c>
      <c r="B48" s="385"/>
      <c r="C48" s="385"/>
      <c r="D48" s="385"/>
      <c r="E48" s="385"/>
      <c r="N48" s="141"/>
    </row>
    <row r="49" spans="1:14" ht="15.75">
      <c r="A49" s="4"/>
      <c r="B49" s="4"/>
      <c r="C49" s="2"/>
      <c r="D49" s="2"/>
      <c r="E49" s="2"/>
      <c r="N49" s="141"/>
    </row>
    <row r="50" spans="1:14" ht="15.75">
      <c r="A50" s="4"/>
      <c r="B50" s="4"/>
      <c r="C50" s="2"/>
      <c r="D50" s="2"/>
      <c r="E50" s="2"/>
      <c r="N50" s="141"/>
    </row>
    <row r="51" spans="1:14" ht="15.75">
      <c r="A51" s="381"/>
      <c r="B51" s="381"/>
      <c r="C51" s="381"/>
      <c r="D51" s="381"/>
      <c r="E51" s="381"/>
      <c r="N51" s="141"/>
    </row>
    <row r="52" spans="1:14" ht="15.75">
      <c r="A52" s="381"/>
      <c r="B52" s="381"/>
      <c r="C52" s="381"/>
      <c r="D52" s="381"/>
      <c r="E52" s="381"/>
      <c r="N52" s="141"/>
    </row>
    <row r="53" spans="1:14">
      <c r="A53" s="386" t="s">
        <v>122</v>
      </c>
      <c r="B53" s="386"/>
      <c r="C53" s="386"/>
      <c r="D53" s="386"/>
      <c r="E53" s="386"/>
      <c r="N53" s="141"/>
    </row>
    <row r="54" spans="1:14">
      <c r="A54" s="386" t="s">
        <v>3</v>
      </c>
      <c r="B54" s="386"/>
      <c r="C54" s="386"/>
      <c r="D54" s="386"/>
      <c r="E54" s="386"/>
      <c r="N54" s="141"/>
    </row>
    <row r="55" spans="1:14" ht="18.75">
      <c r="A55" s="387" t="s">
        <v>58</v>
      </c>
      <c r="B55" s="387"/>
      <c r="C55" s="387"/>
      <c r="D55" s="387"/>
      <c r="E55" s="387"/>
      <c r="N55" s="141"/>
    </row>
    <row r="56" spans="1:14" ht="18.75">
      <c r="A56" s="387" t="s">
        <v>238</v>
      </c>
      <c r="B56" s="387"/>
      <c r="C56" s="387"/>
      <c r="D56" s="387"/>
      <c r="E56" s="387"/>
      <c r="N56" s="141"/>
    </row>
    <row r="57" spans="1:14" ht="16.5" thickBot="1">
      <c r="A57" s="43" t="s">
        <v>62</v>
      </c>
      <c r="B57" s="43"/>
      <c r="C57" s="44"/>
      <c r="D57" s="44"/>
      <c r="E57" s="44"/>
      <c r="N57" s="141"/>
    </row>
    <row r="58" spans="1:14" ht="33.75" customHeight="1" thickBot="1">
      <c r="A58" s="45" t="s">
        <v>7</v>
      </c>
      <c r="B58" s="46" t="s">
        <v>207</v>
      </c>
      <c r="C58" s="45" t="s">
        <v>59</v>
      </c>
      <c r="D58" s="45" t="s">
        <v>186</v>
      </c>
      <c r="E58" s="45" t="s">
        <v>60</v>
      </c>
      <c r="G58" s="32" t="s">
        <v>218</v>
      </c>
      <c r="H58" s="32" t="s">
        <v>219</v>
      </c>
      <c r="I58" s="32" t="s">
        <v>220</v>
      </c>
      <c r="J58" s="32" t="s">
        <v>221</v>
      </c>
    </row>
    <row r="59" spans="1:14" ht="22.5" customHeight="1">
      <c r="A59" s="375" t="s">
        <v>43</v>
      </c>
      <c r="B59" s="23">
        <f>B60/B61</f>
        <v>0.64885823725658742</v>
      </c>
      <c r="C59" s="8" t="s">
        <v>123</v>
      </c>
      <c r="D59" s="388" t="s">
        <v>126</v>
      </c>
      <c r="E59" s="378" t="s">
        <v>127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76"/>
      <c r="B60" s="39">
        <v>7373516</v>
      </c>
      <c r="C60" s="8" t="s">
        <v>124</v>
      </c>
      <c r="D60" s="388"/>
      <c r="E60" s="378"/>
      <c r="F60" s="31"/>
      <c r="G60" s="34">
        <v>6903550</v>
      </c>
      <c r="H60" s="34">
        <v>7140299</v>
      </c>
      <c r="I60" s="65">
        <v>7373516</v>
      </c>
      <c r="J60" s="34">
        <v>7606733</v>
      </c>
    </row>
    <row r="61" spans="1:14" ht="51" customHeight="1">
      <c r="A61" s="377"/>
      <c r="B61" s="40">
        <v>11363832</v>
      </c>
      <c r="C61" s="8" t="s">
        <v>125</v>
      </c>
      <c r="D61" s="388"/>
      <c r="E61" s="378"/>
      <c r="F61" s="31"/>
      <c r="G61" s="34">
        <v>11345082</v>
      </c>
      <c r="H61" s="34">
        <v>11339567</v>
      </c>
      <c r="I61" s="65">
        <v>11363832</v>
      </c>
      <c r="J61" s="65">
        <f>(J63-I63)+I61</f>
        <v>11377289</v>
      </c>
    </row>
    <row r="62" spans="1:14" ht="21" customHeight="1">
      <c r="A62" s="375" t="s">
        <v>44</v>
      </c>
      <c r="B62" s="24">
        <f>B63/B64</f>
        <v>2.772128275039617E-3</v>
      </c>
      <c r="C62" s="9" t="s">
        <v>128</v>
      </c>
      <c r="D62" s="375" t="s">
        <v>187</v>
      </c>
      <c r="E62" s="378" t="s">
        <v>131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76"/>
      <c r="B63" s="22">
        <v>31502</v>
      </c>
      <c r="C63" s="6" t="s">
        <v>129</v>
      </c>
      <c r="D63" s="376"/>
      <c r="E63" s="378"/>
      <c r="F63" s="31"/>
      <c r="G63" s="34">
        <v>4032</v>
      </c>
      <c r="H63" s="34">
        <v>6702</v>
      </c>
      <c r="I63" s="67">
        <v>31502</v>
      </c>
      <c r="J63" s="34">
        <f>31502+13457</f>
        <v>44959</v>
      </c>
    </row>
    <row r="64" spans="1:14" ht="62.25" customHeight="1">
      <c r="A64" s="377"/>
      <c r="B64" s="38">
        <v>11363832</v>
      </c>
      <c r="C64" s="6" t="s">
        <v>130</v>
      </c>
      <c r="D64" s="377"/>
      <c r="E64" s="378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378" t="s">
        <v>45</v>
      </c>
      <c r="B65" s="26">
        <f>B66/B67</f>
        <v>124041.05753968254</v>
      </c>
      <c r="C65" s="6" t="s">
        <v>132</v>
      </c>
      <c r="D65" s="378" t="s">
        <v>188</v>
      </c>
      <c r="E65" s="379" t="s">
        <v>189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7">
        <f>I66/I67</f>
        <v>116853.63177570094</v>
      </c>
      <c r="J65" s="47">
        <f>J66/J67</f>
        <v>155804.84236760126</v>
      </c>
    </row>
    <row r="66" spans="1:10" ht="66.75" customHeight="1">
      <c r="A66" s="378"/>
      <c r="B66" s="38">
        <v>62516693</v>
      </c>
      <c r="C66" s="6" t="s">
        <v>133</v>
      </c>
      <c r="D66" s="378"/>
      <c r="E66" s="379"/>
      <c r="F66" s="31"/>
      <c r="G66" s="34">
        <v>17693919</v>
      </c>
      <c r="H66" s="34">
        <v>38811034</v>
      </c>
      <c r="I66" s="65">
        <v>62516693</v>
      </c>
      <c r="J66" s="36">
        <f>I66/3*4</f>
        <v>83355590.666666672</v>
      </c>
    </row>
    <row r="67" spans="1:10" ht="81" customHeight="1">
      <c r="A67" s="378"/>
      <c r="B67" s="22">
        <v>504</v>
      </c>
      <c r="C67" s="6" t="s">
        <v>134</v>
      </c>
      <c r="D67" s="378"/>
      <c r="E67" s="379"/>
      <c r="F67" s="31"/>
      <c r="G67" s="34">
        <v>535</v>
      </c>
      <c r="H67" s="34">
        <v>535</v>
      </c>
      <c r="I67" s="67">
        <v>535</v>
      </c>
      <c r="J67" s="67">
        <v>535</v>
      </c>
    </row>
    <row r="68" spans="1:10">
      <c r="A68" s="378" t="s">
        <v>46</v>
      </c>
      <c r="B68" s="17">
        <f>B69/B71</f>
        <v>5.5058848137383141</v>
      </c>
      <c r="C68" s="6" t="s">
        <v>135</v>
      </c>
      <c r="D68" s="378" t="s">
        <v>140</v>
      </c>
      <c r="E68" s="378" t="s">
        <v>141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78"/>
      <c r="B69" s="38">
        <v>62516693</v>
      </c>
      <c r="C69" s="6" t="s">
        <v>136</v>
      </c>
      <c r="D69" s="378"/>
      <c r="E69" s="378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378"/>
      <c r="B70" s="38"/>
      <c r="C70" s="6" t="s">
        <v>137</v>
      </c>
      <c r="D70" s="378"/>
      <c r="E70" s="378"/>
      <c r="F70" s="31"/>
      <c r="G70" s="34"/>
      <c r="H70" s="34"/>
      <c r="I70" s="65"/>
      <c r="J70" s="34"/>
    </row>
    <row r="71" spans="1:10">
      <c r="A71" s="378"/>
      <c r="B71" s="26">
        <f>(11345213+11363832)/2</f>
        <v>11354522.5</v>
      </c>
      <c r="C71" s="6" t="s">
        <v>138</v>
      </c>
      <c r="D71" s="378"/>
      <c r="E71" s="378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378"/>
      <c r="B72" s="38"/>
      <c r="C72" s="6" t="s">
        <v>139</v>
      </c>
      <c r="D72" s="378"/>
      <c r="E72" s="378"/>
      <c r="F72" s="31"/>
      <c r="G72" s="34"/>
      <c r="H72" s="34"/>
      <c r="I72" s="65"/>
      <c r="J72" s="34"/>
    </row>
    <row r="73" spans="1:10" ht="26.25">
      <c r="A73" s="378" t="s">
        <v>47</v>
      </c>
      <c r="B73" s="17">
        <f>B74/B75</f>
        <v>0.7</v>
      </c>
      <c r="C73" s="6" t="s">
        <v>142</v>
      </c>
      <c r="D73" s="378" t="s">
        <v>146</v>
      </c>
      <c r="E73" s="378" t="s">
        <v>147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78"/>
      <c r="B74" s="38">
        <v>62516693</v>
      </c>
      <c r="C74" s="6" t="s">
        <v>143</v>
      </c>
      <c r="D74" s="378"/>
      <c r="E74" s="378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378"/>
      <c r="B75" s="25">
        <f>B74/70*100</f>
        <v>89309561.428571433</v>
      </c>
      <c r="C75" s="6" t="s">
        <v>215</v>
      </c>
      <c r="D75" s="378"/>
      <c r="E75" s="378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78"/>
      <c r="B76" s="38">
        <v>0</v>
      </c>
      <c r="C76" s="6" t="s">
        <v>144</v>
      </c>
      <c r="D76" s="378"/>
      <c r="E76" s="378"/>
      <c r="F76" s="31"/>
      <c r="G76" s="65">
        <v>0</v>
      </c>
      <c r="H76" s="65">
        <v>0</v>
      </c>
      <c r="I76" s="65">
        <v>0</v>
      </c>
      <c r="J76" s="65">
        <v>0</v>
      </c>
    </row>
    <row r="77" spans="1:10" ht="32.25" customHeight="1">
      <c r="A77" s="378"/>
      <c r="B77" s="38">
        <v>0</v>
      </c>
      <c r="C77" s="6" t="s">
        <v>145</v>
      </c>
      <c r="D77" s="378"/>
      <c r="E77" s="378"/>
      <c r="F77" s="31"/>
      <c r="G77" s="65">
        <v>0</v>
      </c>
      <c r="H77" s="65">
        <v>0</v>
      </c>
      <c r="I77" s="65">
        <v>0</v>
      </c>
      <c r="J77" s="65">
        <v>0</v>
      </c>
    </row>
    <row r="78" spans="1:10">
      <c r="A78" s="378" t="s">
        <v>48</v>
      </c>
      <c r="B78" s="16">
        <f>B79/B80</f>
        <v>1.8199763213522492E-2</v>
      </c>
      <c r="C78" s="6" t="s">
        <v>148</v>
      </c>
      <c r="D78" s="375" t="s">
        <v>190</v>
      </c>
      <c r="E78" s="378" t="s">
        <v>151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78"/>
      <c r="B79" s="38">
        <v>1018215</v>
      </c>
      <c r="C79" s="6" t="s">
        <v>149</v>
      </c>
      <c r="D79" s="376"/>
      <c r="E79" s="378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378"/>
      <c r="B80" s="38">
        <v>55946607</v>
      </c>
      <c r="C80" s="6" t="s">
        <v>150</v>
      </c>
      <c r="D80" s="377"/>
      <c r="E80" s="378"/>
      <c r="F80" s="31"/>
      <c r="G80" s="34">
        <v>15607606</v>
      </c>
      <c r="H80" s="34">
        <v>34594331</v>
      </c>
      <c r="I80" s="65">
        <v>55946607</v>
      </c>
      <c r="J80" s="34">
        <f>I80/3*4</f>
        <v>74595476</v>
      </c>
    </row>
    <row r="81" spans="1:10">
      <c r="A81" s="378" t="s">
        <v>49</v>
      </c>
      <c r="B81" s="38"/>
      <c r="C81" s="6" t="s">
        <v>152</v>
      </c>
      <c r="D81" s="38" t="s">
        <v>156</v>
      </c>
      <c r="E81" s="378" t="s">
        <v>160</v>
      </c>
      <c r="F81" s="31"/>
      <c r="G81" s="34"/>
      <c r="H81" s="34"/>
      <c r="I81" s="66"/>
      <c r="J81" s="48"/>
    </row>
    <row r="82" spans="1:10" ht="26.25">
      <c r="A82" s="378"/>
      <c r="B82" s="38">
        <v>0</v>
      </c>
      <c r="C82" s="6" t="s">
        <v>153</v>
      </c>
      <c r="D82" s="38" t="s">
        <v>157</v>
      </c>
      <c r="E82" s="378"/>
      <c r="F82" s="31"/>
      <c r="G82" s="65">
        <v>0</v>
      </c>
      <c r="H82" s="65">
        <v>0</v>
      </c>
      <c r="I82" s="65">
        <v>0</v>
      </c>
      <c r="J82" s="65">
        <v>0</v>
      </c>
    </row>
    <row r="83" spans="1:10" ht="26.25">
      <c r="A83" s="378"/>
      <c r="B83" s="38">
        <v>0</v>
      </c>
      <c r="C83" s="6" t="s">
        <v>154</v>
      </c>
      <c r="D83" s="38" t="s">
        <v>158</v>
      </c>
      <c r="E83" s="378"/>
      <c r="F83" s="31"/>
      <c r="G83" s="65">
        <v>0</v>
      </c>
      <c r="H83" s="65">
        <v>0</v>
      </c>
      <c r="I83" s="65">
        <v>0</v>
      </c>
      <c r="J83" s="65">
        <v>0</v>
      </c>
    </row>
    <row r="84" spans="1:10" ht="38.25">
      <c r="A84" s="378"/>
      <c r="C84" s="5" t="s">
        <v>155</v>
      </c>
      <c r="D84" s="38" t="s">
        <v>159</v>
      </c>
      <c r="E84" s="378"/>
      <c r="F84" s="31"/>
      <c r="G84" s="69"/>
      <c r="H84" s="69"/>
      <c r="I84" s="69"/>
      <c r="J84" s="34"/>
    </row>
    <row r="85" spans="1:10">
      <c r="A85" s="378" t="s">
        <v>161</v>
      </c>
      <c r="B85" s="38"/>
      <c r="C85" s="6" t="s">
        <v>162</v>
      </c>
      <c r="D85" s="378" t="s">
        <v>166</v>
      </c>
      <c r="E85" s="378" t="s">
        <v>167</v>
      </c>
      <c r="F85" s="31"/>
      <c r="G85" s="65"/>
      <c r="H85" s="65"/>
      <c r="I85" s="66"/>
      <c r="J85" s="48"/>
    </row>
    <row r="86" spans="1:10" ht="26.25">
      <c r="A86" s="378"/>
      <c r="B86" s="38">
        <v>0</v>
      </c>
      <c r="C86" s="6" t="s">
        <v>163</v>
      </c>
      <c r="D86" s="378"/>
      <c r="E86" s="378"/>
      <c r="F86" s="31"/>
      <c r="G86" s="65">
        <v>0</v>
      </c>
      <c r="H86" s="65">
        <v>0</v>
      </c>
      <c r="I86" s="65">
        <v>0</v>
      </c>
      <c r="J86" s="65">
        <v>0</v>
      </c>
    </row>
    <row r="87" spans="1:10">
      <c r="A87" s="378"/>
      <c r="B87" s="38">
        <v>0</v>
      </c>
      <c r="C87" s="6" t="s">
        <v>164</v>
      </c>
      <c r="D87" s="378"/>
      <c r="E87" s="378"/>
      <c r="F87" s="31"/>
      <c r="G87" s="65">
        <v>0</v>
      </c>
      <c r="H87" s="65">
        <v>0</v>
      </c>
      <c r="I87" s="65">
        <v>0</v>
      </c>
      <c r="J87" s="65">
        <v>0</v>
      </c>
    </row>
    <row r="88" spans="1:10" ht="38.25">
      <c r="A88" s="378"/>
      <c r="B88" s="38"/>
      <c r="C88" s="5" t="s">
        <v>165</v>
      </c>
      <c r="D88" s="378"/>
      <c r="E88" s="378"/>
      <c r="F88" s="31"/>
      <c r="G88" s="34"/>
      <c r="H88" s="34"/>
      <c r="I88" s="65"/>
      <c r="J88" s="34"/>
    </row>
    <row r="89" spans="1:10" ht="18" customHeight="1">
      <c r="A89" s="378" t="s">
        <v>51</v>
      </c>
      <c r="B89" s="17">
        <f>B90/B91</f>
        <v>15.782976190476191</v>
      </c>
      <c r="C89" s="6" t="s">
        <v>168</v>
      </c>
      <c r="D89" s="375" t="s">
        <v>193</v>
      </c>
      <c r="E89" s="375" t="s">
        <v>170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78"/>
      <c r="B90" s="26">
        <v>7954.62</v>
      </c>
      <c r="C90" s="6" t="s">
        <v>169</v>
      </c>
      <c r="D90" s="376"/>
      <c r="E90" s="376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378"/>
      <c r="B91" s="38">
        <v>504</v>
      </c>
      <c r="C91" s="6" t="s">
        <v>134</v>
      </c>
      <c r="D91" s="377"/>
      <c r="E91" s="377"/>
      <c r="F91" s="31"/>
      <c r="G91" s="34">
        <v>535</v>
      </c>
      <c r="H91" s="34">
        <v>535</v>
      </c>
      <c r="I91" s="65">
        <v>535</v>
      </c>
      <c r="J91" s="34">
        <v>535</v>
      </c>
    </row>
    <row r="92" spans="1:10" ht="21.75" customHeight="1">
      <c r="A92" s="378" t="s">
        <v>52</v>
      </c>
      <c r="B92" s="16">
        <f>509/498</f>
        <v>1.0220883534136547</v>
      </c>
      <c r="C92" s="6" t="s">
        <v>171</v>
      </c>
      <c r="D92" s="378" t="s">
        <v>173</v>
      </c>
      <c r="E92" s="378" t="s">
        <v>174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78"/>
      <c r="B93" s="38" t="s">
        <v>232</v>
      </c>
      <c r="C93" s="6" t="s">
        <v>172</v>
      </c>
      <c r="D93" s="378"/>
      <c r="E93" s="378"/>
      <c r="F93" s="31"/>
      <c r="G93" s="34" t="s">
        <v>231</v>
      </c>
      <c r="H93" s="34" t="s">
        <v>234</v>
      </c>
      <c r="I93" s="65" t="s">
        <v>235</v>
      </c>
      <c r="J93" s="34" t="s">
        <v>233</v>
      </c>
    </row>
    <row r="94" spans="1:10" ht="68.25" customHeight="1">
      <c r="A94" s="38" t="s">
        <v>175</v>
      </c>
      <c r="B94" s="38">
        <v>0</v>
      </c>
      <c r="C94" s="38" t="s">
        <v>176</v>
      </c>
      <c r="D94" s="38" t="s">
        <v>177</v>
      </c>
      <c r="E94" s="38" t="s">
        <v>121</v>
      </c>
      <c r="F94" s="31"/>
      <c r="G94" s="65">
        <v>0</v>
      </c>
      <c r="H94" s="65">
        <v>0</v>
      </c>
      <c r="I94" s="65">
        <v>0</v>
      </c>
      <c r="J94" s="65">
        <v>0</v>
      </c>
    </row>
    <row r="95" spans="1:10" ht="79.5" customHeight="1">
      <c r="A95" s="38" t="s">
        <v>216</v>
      </c>
      <c r="B95" s="38">
        <v>0</v>
      </c>
      <c r="C95" s="38" t="s">
        <v>178</v>
      </c>
      <c r="D95" s="38" t="s">
        <v>177</v>
      </c>
      <c r="E95" s="38" t="s">
        <v>121</v>
      </c>
      <c r="F95" s="31"/>
      <c r="G95" s="65">
        <v>0</v>
      </c>
      <c r="H95" s="65">
        <v>0</v>
      </c>
      <c r="I95" s="65">
        <v>0</v>
      </c>
      <c r="J95" s="65">
        <v>0</v>
      </c>
    </row>
    <row r="96" spans="1:10" ht="54.75" customHeight="1">
      <c r="A96" s="38" t="s">
        <v>55</v>
      </c>
      <c r="B96" s="38">
        <v>0</v>
      </c>
      <c r="C96" s="38" t="s">
        <v>179</v>
      </c>
      <c r="D96" s="38" t="s">
        <v>177</v>
      </c>
      <c r="E96" s="38" t="s">
        <v>121</v>
      </c>
      <c r="F96" s="31"/>
      <c r="G96" s="65">
        <v>0</v>
      </c>
      <c r="H96" s="65">
        <v>0</v>
      </c>
      <c r="I96" s="65">
        <v>0</v>
      </c>
      <c r="J96" s="65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80" t="s">
        <v>191</v>
      </c>
      <c r="B99" s="380"/>
      <c r="C99" s="380"/>
      <c r="D99" s="380"/>
      <c r="E99" s="380"/>
    </row>
    <row r="100" spans="1:5" ht="15.75">
      <c r="A100" s="385" t="s">
        <v>192</v>
      </c>
      <c r="B100" s="385"/>
      <c r="C100" s="385"/>
      <c r="D100" s="385"/>
      <c r="E100" s="385"/>
    </row>
    <row r="101" spans="1:5" ht="15.75">
      <c r="A101" s="4"/>
      <c r="B101" s="4"/>
      <c r="C101" s="2"/>
      <c r="D101" s="2"/>
      <c r="E101" s="2"/>
    </row>
  </sheetData>
  <mergeCells count="72">
    <mergeCell ref="A92:A93"/>
    <mergeCell ref="D92:D93"/>
    <mergeCell ref="E92:E93"/>
    <mergeCell ref="A99:E99"/>
    <mergeCell ref="A100:E100"/>
    <mergeCell ref="A85:A88"/>
    <mergeCell ref="D85:D88"/>
    <mergeCell ref="E85:E88"/>
    <mergeCell ref="A89:A91"/>
    <mergeCell ref="D89:D91"/>
    <mergeCell ref="E89:E91"/>
    <mergeCell ref="A78:A80"/>
    <mergeCell ref="D78:D80"/>
    <mergeCell ref="E78:E80"/>
    <mergeCell ref="A81:A84"/>
    <mergeCell ref="E81:E84"/>
    <mergeCell ref="A68:A72"/>
    <mergeCell ref="D68:D72"/>
    <mergeCell ref="E68:E72"/>
    <mergeCell ref="A73:A77"/>
    <mergeCell ref="D73:D77"/>
    <mergeCell ref="E73:E77"/>
    <mergeCell ref="A62:A64"/>
    <mergeCell ref="D62:D64"/>
    <mergeCell ref="E62:E64"/>
    <mergeCell ref="A65:A67"/>
    <mergeCell ref="D65:D67"/>
    <mergeCell ref="E65:E67"/>
    <mergeCell ref="A53:E53"/>
    <mergeCell ref="A54:E54"/>
    <mergeCell ref="A55:E55"/>
    <mergeCell ref="A56:E56"/>
    <mergeCell ref="A59:A61"/>
    <mergeCell ref="D59:D61"/>
    <mergeCell ref="E59:E61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10:A12"/>
    <mergeCell ref="E10:E12"/>
    <mergeCell ref="A13:A15"/>
    <mergeCell ref="A16:A20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8"/>
  <sheetViews>
    <sheetView topLeftCell="A28" workbookViewId="0">
      <selection activeCell="U32" sqref="U32"/>
    </sheetView>
  </sheetViews>
  <sheetFormatPr defaultRowHeight="15"/>
  <cols>
    <col min="1" max="1" width="15.85546875" customWidth="1"/>
    <col min="2" max="2" width="13.140625" style="53" customWidth="1"/>
    <col min="3" max="3" width="12.42578125" style="53" customWidth="1"/>
    <col min="4" max="4" width="51.7109375" style="53" customWidth="1"/>
    <col min="5" max="5" width="27.140625" style="53" customWidth="1"/>
    <col min="6" max="6" width="25.5703125" style="53" customWidth="1"/>
    <col min="7" max="7" width="23.42578125" style="51" hidden="1" customWidth="1"/>
    <col min="8" max="11" width="9.28515625" style="53" hidden="1" customWidth="1"/>
    <col min="12" max="14" width="9.28515625" style="51" hidden="1" customWidth="1"/>
    <col min="15" max="15" width="10" style="2" hidden="1" customWidth="1"/>
    <col min="16" max="16" width="15.85546875" style="2" customWidth="1"/>
    <col min="17" max="18" width="9.140625" style="53"/>
    <col min="19" max="19" width="12" bestFit="1" customWidth="1"/>
  </cols>
  <sheetData>
    <row r="1" spans="1:16">
      <c r="A1" s="382" t="s">
        <v>57</v>
      </c>
      <c r="B1" s="382"/>
      <c r="C1" s="382"/>
      <c r="D1" s="382"/>
      <c r="E1" s="382"/>
      <c r="F1" s="382"/>
    </row>
    <row r="2" spans="1:16">
      <c r="A2" s="382" t="s">
        <v>3</v>
      </c>
      <c r="B2" s="382"/>
      <c r="C2" s="382"/>
      <c r="D2" s="382"/>
      <c r="E2" s="382"/>
      <c r="F2" s="382"/>
    </row>
    <row r="3" spans="1:16" ht="18.75">
      <c r="A3" s="383" t="s">
        <v>58</v>
      </c>
      <c r="B3" s="383"/>
      <c r="C3" s="383"/>
      <c r="D3" s="383"/>
      <c r="E3" s="383"/>
      <c r="F3" s="383"/>
    </row>
    <row r="4" spans="1:16" ht="18.75">
      <c r="A4" s="383" t="s">
        <v>194</v>
      </c>
      <c r="B4" s="383"/>
      <c r="C4" s="383"/>
      <c r="D4" s="383"/>
      <c r="E4" s="383"/>
      <c r="F4" s="383"/>
    </row>
    <row r="5" spans="1:16" ht="16.5" thickBot="1">
      <c r="A5" s="1" t="s">
        <v>1</v>
      </c>
      <c r="B5" s="96"/>
      <c r="C5" s="96"/>
    </row>
    <row r="6" spans="1:16" ht="34.5" customHeight="1" thickBot="1">
      <c r="A6" s="11" t="s">
        <v>7</v>
      </c>
      <c r="B6" s="97" t="s">
        <v>224</v>
      </c>
      <c r="C6" s="97" t="s">
        <v>207</v>
      </c>
      <c r="D6" s="98" t="s">
        <v>59</v>
      </c>
      <c r="E6" s="99" t="s">
        <v>186</v>
      </c>
      <c r="F6" s="100" t="s">
        <v>60</v>
      </c>
      <c r="H6" s="30" t="s">
        <v>218</v>
      </c>
      <c r="I6" s="30" t="s">
        <v>219</v>
      </c>
      <c r="J6" s="30" t="s">
        <v>220</v>
      </c>
      <c r="K6" s="30" t="s">
        <v>221</v>
      </c>
      <c r="L6" s="30" t="s">
        <v>247</v>
      </c>
      <c r="M6" s="30" t="s">
        <v>249</v>
      </c>
      <c r="N6" s="30" t="s">
        <v>253</v>
      </c>
      <c r="O6" s="68" t="s">
        <v>266</v>
      </c>
      <c r="P6" s="68" t="s">
        <v>284</v>
      </c>
    </row>
    <row r="7" spans="1:16" ht="27" customHeight="1" thickBot="1">
      <c r="A7" s="398" t="s">
        <v>61</v>
      </c>
      <c r="B7" s="399"/>
      <c r="C7" s="399"/>
      <c r="D7" s="400"/>
      <c r="E7" s="400"/>
      <c r="F7" s="401"/>
      <c r="H7" s="30"/>
      <c r="I7" s="30"/>
      <c r="J7" s="30"/>
      <c r="K7" s="101"/>
      <c r="L7" s="30"/>
      <c r="M7" s="30"/>
      <c r="N7" s="30"/>
      <c r="O7" s="68"/>
      <c r="P7" s="68"/>
    </row>
    <row r="8" spans="1:16" ht="31.5" customHeight="1">
      <c r="A8" s="376" t="s">
        <v>195</v>
      </c>
      <c r="B8" s="25">
        <f>517502+507626+B18</f>
        <v>2469678</v>
      </c>
      <c r="C8" s="25">
        <f>517502+507626+C18</f>
        <v>2469678</v>
      </c>
      <c r="D8" s="102" t="s">
        <v>222</v>
      </c>
      <c r="E8" s="397" t="s">
        <v>196</v>
      </c>
      <c r="F8" s="397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4">
        <f>1905838+1197752+1804754</f>
        <v>4908344</v>
      </c>
      <c r="O8" s="131">
        <f>1691729+1320749+1634098</f>
        <v>4646576</v>
      </c>
      <c r="P8" s="64">
        <f>5989306+144987+2463660</f>
        <v>8597953</v>
      </c>
    </row>
    <row r="9" spans="1:16" ht="16.5" customHeight="1">
      <c r="A9" s="376"/>
      <c r="B9" s="67"/>
      <c r="C9" s="67"/>
      <c r="D9" s="67" t="s">
        <v>63</v>
      </c>
      <c r="E9" s="384"/>
      <c r="F9" s="384"/>
      <c r="H9" s="67"/>
      <c r="I9" s="67"/>
      <c r="J9" s="67"/>
      <c r="K9" s="67"/>
      <c r="L9" s="30"/>
      <c r="M9" s="30"/>
      <c r="N9" s="30"/>
      <c r="O9" s="68"/>
      <c r="P9" s="68"/>
    </row>
    <row r="10" spans="1:16" ht="16.5" customHeight="1">
      <c r="A10" s="376"/>
      <c r="B10" s="384">
        <f>337904+150463+507626</f>
        <v>995993</v>
      </c>
      <c r="C10" s="384">
        <f>337904+150463+507626</f>
        <v>995993</v>
      </c>
      <c r="D10" s="67" t="s">
        <v>64</v>
      </c>
      <c r="E10" s="384"/>
      <c r="F10" s="384"/>
      <c r="H10" s="384">
        <f>112665+62167+125992</f>
        <v>300824</v>
      </c>
      <c r="I10" s="384">
        <f>225145+102829+418386</f>
        <v>746360</v>
      </c>
      <c r="J10" s="384">
        <f>337904+150463+507626</f>
        <v>995993</v>
      </c>
      <c r="K10" s="389">
        <f>J10/3*4</f>
        <v>1327990.6666666667</v>
      </c>
      <c r="L10" s="389"/>
      <c r="M10" s="389"/>
      <c r="N10" s="389"/>
      <c r="O10" s="389"/>
      <c r="P10" s="389"/>
    </row>
    <row r="11" spans="1:16" ht="16.5" customHeight="1">
      <c r="A11" s="376"/>
      <c r="B11" s="384"/>
      <c r="C11" s="384"/>
      <c r="D11" s="67" t="s">
        <v>65</v>
      </c>
      <c r="E11" s="384"/>
      <c r="F11" s="384"/>
      <c r="H11" s="384"/>
      <c r="I11" s="384"/>
      <c r="J11" s="384"/>
      <c r="K11" s="389"/>
      <c r="L11" s="389"/>
      <c r="M11" s="389"/>
      <c r="N11" s="389"/>
      <c r="O11" s="389"/>
      <c r="P11" s="389"/>
    </row>
    <row r="12" spans="1:16" ht="16.5" customHeight="1">
      <c r="A12" s="376"/>
      <c r="B12" s="384"/>
      <c r="C12" s="384"/>
      <c r="D12" s="67" t="s">
        <v>66</v>
      </c>
      <c r="E12" s="384"/>
      <c r="F12" s="384"/>
      <c r="H12" s="384"/>
      <c r="I12" s="384"/>
      <c r="J12" s="384"/>
      <c r="K12" s="389"/>
      <c r="L12" s="389"/>
      <c r="M12" s="389"/>
      <c r="N12" s="389"/>
      <c r="O12" s="389"/>
      <c r="P12" s="389"/>
    </row>
    <row r="13" spans="1:16" ht="16.5" customHeight="1">
      <c r="A13" s="376"/>
      <c r="B13" s="384"/>
      <c r="C13" s="384"/>
      <c r="D13" s="67" t="s">
        <v>67</v>
      </c>
      <c r="E13" s="384"/>
      <c r="F13" s="384"/>
      <c r="H13" s="384"/>
      <c r="I13" s="384"/>
      <c r="J13" s="384"/>
      <c r="K13" s="389"/>
      <c r="L13" s="389"/>
      <c r="M13" s="389"/>
      <c r="N13" s="389"/>
      <c r="O13" s="389"/>
      <c r="P13" s="389"/>
    </row>
    <row r="14" spans="1:16" ht="16.5" customHeight="1">
      <c r="A14" s="376"/>
      <c r="B14" s="384"/>
      <c r="C14" s="384"/>
      <c r="D14" s="67" t="s">
        <v>68</v>
      </c>
      <c r="E14" s="384"/>
      <c r="F14" s="384"/>
      <c r="H14" s="384"/>
      <c r="I14" s="384"/>
      <c r="J14" s="384"/>
      <c r="K14" s="389"/>
      <c r="L14" s="389"/>
      <c r="M14" s="389"/>
      <c r="N14" s="389"/>
      <c r="O14" s="389"/>
      <c r="P14" s="389"/>
    </row>
    <row r="15" spans="1:16" ht="16.5" customHeight="1">
      <c r="A15" s="376"/>
      <c r="B15" s="384"/>
      <c r="C15" s="384"/>
      <c r="D15" s="67" t="s">
        <v>69</v>
      </c>
      <c r="E15" s="384"/>
      <c r="F15" s="384"/>
      <c r="H15" s="384"/>
      <c r="I15" s="384"/>
      <c r="J15" s="384"/>
      <c r="K15" s="389"/>
      <c r="L15" s="389"/>
      <c r="M15" s="389"/>
      <c r="N15" s="389"/>
      <c r="O15" s="389"/>
      <c r="P15" s="389"/>
    </row>
    <row r="16" spans="1:16" ht="16.5" customHeight="1">
      <c r="A16" s="376"/>
      <c r="B16" s="384"/>
      <c r="C16" s="384"/>
      <c r="D16" s="67" t="s">
        <v>70</v>
      </c>
      <c r="E16" s="384"/>
      <c r="F16" s="384"/>
      <c r="H16" s="384"/>
      <c r="I16" s="384"/>
      <c r="J16" s="384"/>
      <c r="K16" s="389"/>
      <c r="L16" s="389"/>
      <c r="M16" s="389"/>
      <c r="N16" s="389"/>
      <c r="O16" s="389"/>
      <c r="P16" s="389"/>
    </row>
    <row r="17" spans="1:16" ht="16.5" customHeight="1">
      <c r="A17" s="376"/>
      <c r="B17" s="384"/>
      <c r="C17" s="384"/>
      <c r="D17" s="67" t="s">
        <v>71</v>
      </c>
      <c r="E17" s="384"/>
      <c r="F17" s="384"/>
      <c r="H17" s="384"/>
      <c r="I17" s="384"/>
      <c r="J17" s="384"/>
      <c r="K17" s="389"/>
      <c r="L17" s="389"/>
      <c r="M17" s="389"/>
      <c r="N17" s="389"/>
      <c r="O17" s="389"/>
      <c r="P17" s="389"/>
    </row>
    <row r="18" spans="1:16" ht="25.5">
      <c r="A18" s="376"/>
      <c r="B18" s="384">
        <f>B10+704138-255581</f>
        <v>1444550</v>
      </c>
      <c r="C18" s="384">
        <f>C10+704138-255581</f>
        <v>1444550</v>
      </c>
      <c r="D18" s="67" t="s">
        <v>72</v>
      </c>
      <c r="E18" s="384"/>
      <c r="F18" s="384"/>
      <c r="H18" s="384">
        <f>H10+234172-255581</f>
        <v>279415</v>
      </c>
      <c r="I18" s="384">
        <f>I10+470921-255581</f>
        <v>961700</v>
      </c>
      <c r="J18" s="384">
        <f>J10+704138-255581</f>
        <v>1444550</v>
      </c>
      <c r="K18" s="389">
        <f>J18/3*4</f>
        <v>1926066.6666666667</v>
      </c>
      <c r="L18" s="393"/>
      <c r="M18" s="393"/>
      <c r="N18" s="393"/>
      <c r="O18" s="390"/>
      <c r="P18" s="390"/>
    </row>
    <row r="19" spans="1:16">
      <c r="A19" s="376"/>
      <c r="B19" s="384"/>
      <c r="C19" s="384"/>
      <c r="D19" s="67" t="s">
        <v>73</v>
      </c>
      <c r="E19" s="384"/>
      <c r="F19" s="384"/>
      <c r="H19" s="384"/>
      <c r="I19" s="384"/>
      <c r="J19" s="384"/>
      <c r="K19" s="389"/>
      <c r="L19" s="394"/>
      <c r="M19" s="394"/>
      <c r="N19" s="394"/>
      <c r="O19" s="391"/>
      <c r="P19" s="391"/>
    </row>
    <row r="20" spans="1:16">
      <c r="A20" s="376"/>
      <c r="B20" s="384"/>
      <c r="C20" s="384"/>
      <c r="D20" s="29" t="s">
        <v>225</v>
      </c>
      <c r="E20" s="384"/>
      <c r="F20" s="384"/>
      <c r="H20" s="384"/>
      <c r="I20" s="384"/>
      <c r="J20" s="384"/>
      <c r="K20" s="389"/>
      <c r="L20" s="395"/>
      <c r="M20" s="395"/>
      <c r="N20" s="395"/>
      <c r="O20" s="392"/>
      <c r="P20" s="392"/>
    </row>
    <row r="21" spans="1:16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67" t="s">
        <v>76</v>
      </c>
      <c r="E21" s="103" t="s">
        <v>197</v>
      </c>
      <c r="F21" s="103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6">
        <f>5982878/46104172</f>
        <v>0.12976868991378915</v>
      </c>
      <c r="M21" s="30">
        <v>0.11799999999999999</v>
      </c>
      <c r="N21" s="56">
        <f>11010503/102585404</f>
        <v>0.10733011296616816</v>
      </c>
      <c r="O21" s="132">
        <f>9459358/115979242</f>
        <v>8.1560784816993373E-2</v>
      </c>
      <c r="P21" s="56">
        <f>13695846/180363008</f>
        <v>7.5934894587697269E-2</v>
      </c>
    </row>
    <row r="22" spans="1:16" ht="102">
      <c r="A22" s="3" t="s">
        <v>78</v>
      </c>
      <c r="B22" s="27">
        <f>337904/5610415</f>
        <v>6.0227986699736114E-2</v>
      </c>
      <c r="C22" s="27">
        <f>337904/((5379433+5610415)/2)</f>
        <v>6.1493844136879784E-2</v>
      </c>
      <c r="D22" s="67" t="s">
        <v>257</v>
      </c>
      <c r="E22" s="67" t="s">
        <v>208</v>
      </c>
      <c r="F22" s="67" t="s">
        <v>79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4139463/((53313337+55800167)/2)</f>
        <v>7.5874439886010808E-2</v>
      </c>
    </row>
    <row r="23" spans="1:16" ht="114.75" customHeight="1">
      <c r="A23" s="3" t="s">
        <v>80</v>
      </c>
      <c r="B23" s="27">
        <f>337904/639863</f>
        <v>0.52808804384688601</v>
      </c>
      <c r="C23" s="27">
        <f>337904/639863</f>
        <v>0.52808804384688601</v>
      </c>
      <c r="D23" s="217" t="s">
        <v>272</v>
      </c>
      <c r="E23" s="67" t="s">
        <v>198</v>
      </c>
      <c r="F23" s="67" t="s">
        <v>81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8">
        <f>1140408/639863</f>
        <v>1.7822690169614432</v>
      </c>
      <c r="M23" s="30">
        <v>1.91</v>
      </c>
      <c r="N23" s="58">
        <f>1303477/639863</f>
        <v>2.0371188832609479</v>
      </c>
      <c r="O23" s="42">
        <f>1323466/639863</f>
        <v>2.0683583829663537</v>
      </c>
      <c r="P23" s="58">
        <f>4139463/((53313337+55800167)/2)</f>
        <v>7.5874439886010808E-2</v>
      </c>
    </row>
    <row r="24" spans="1:16" ht="121.5" customHeight="1">
      <c r="A24" s="3" t="s">
        <v>82</v>
      </c>
      <c r="B24" s="27">
        <f>250-250+38.8/250</f>
        <v>0.15519999999999998</v>
      </c>
      <c r="C24" s="27">
        <f>250-250+38.8/250</f>
        <v>0.15519999999999998</v>
      </c>
      <c r="D24" s="67" t="s">
        <v>83</v>
      </c>
      <c r="E24" s="67" t="s">
        <v>198</v>
      </c>
      <c r="F24" s="67" t="s">
        <v>84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8">
        <f>250-250+309.85/250</f>
        <v>1.2394000000000001</v>
      </c>
      <c r="M24" s="30">
        <v>0</v>
      </c>
      <c r="N24" s="30">
        <v>0</v>
      </c>
      <c r="O24" s="133">
        <v>0</v>
      </c>
      <c r="P24" s="68">
        <v>0</v>
      </c>
    </row>
    <row r="25" spans="1:16" ht="24" customHeight="1">
      <c r="A25" s="378" t="s">
        <v>26</v>
      </c>
      <c r="B25" s="24">
        <f>B26/B28</f>
        <v>2.2403574791491167E-2</v>
      </c>
      <c r="C25" s="24">
        <f>C26/C28</f>
        <v>6.9285865776833409E-3</v>
      </c>
      <c r="D25" s="52" t="s">
        <v>85</v>
      </c>
      <c r="E25" s="384" t="s">
        <v>199</v>
      </c>
      <c r="F25" s="384" t="s">
        <v>91</v>
      </c>
      <c r="G25" s="396" t="s">
        <v>209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6">
        <f>L26/L28</f>
        <v>2.0258207807486751E-2</v>
      </c>
      <c r="M25" s="30">
        <v>0.03</v>
      </c>
      <c r="N25" s="56">
        <f>N26/N28</f>
        <v>2.5504905220279473E-2</v>
      </c>
      <c r="O25" s="132">
        <f>O26/O28</f>
        <v>4.6435021719695027E-3</v>
      </c>
      <c r="P25" s="94">
        <f>P26/P28</f>
        <v>2.800214806505388E-2</v>
      </c>
    </row>
    <row r="26" spans="1:16" ht="39">
      <c r="A26" s="378"/>
      <c r="B26" s="67">
        <f>517502</f>
        <v>517502</v>
      </c>
      <c r="C26" s="67">
        <f>517502</f>
        <v>517502</v>
      </c>
      <c r="D26" s="52" t="s">
        <v>86</v>
      </c>
      <c r="E26" s="384"/>
      <c r="F26" s="384"/>
      <c r="G26" s="396"/>
      <c r="H26" s="67">
        <v>184629</v>
      </c>
      <c r="I26" s="67">
        <v>347304</v>
      </c>
      <c r="J26" s="67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19">
        <v>5989306</v>
      </c>
    </row>
    <row r="27" spans="1:16" ht="26.25">
      <c r="A27" s="378"/>
      <c r="B27" s="25"/>
      <c r="C27" s="25"/>
      <c r="D27" s="52" t="s">
        <v>87</v>
      </c>
      <c r="E27" s="384"/>
      <c r="F27" s="384"/>
      <c r="G27" s="396"/>
      <c r="H27" s="25"/>
      <c r="I27" s="25"/>
      <c r="J27" s="25"/>
      <c r="K27" s="25"/>
      <c r="L27" s="30"/>
      <c r="M27" s="30"/>
      <c r="N27" s="30"/>
      <c r="O27" s="30"/>
      <c r="P27" s="128"/>
    </row>
    <row r="28" spans="1:16">
      <c r="A28" s="378"/>
      <c r="B28" s="25">
        <f>(B29+B30)/2</f>
        <v>23099081.5</v>
      </c>
      <c r="C28" s="25">
        <f>(C29+C30)/2</f>
        <v>74690847</v>
      </c>
      <c r="D28" s="52" t="s">
        <v>88</v>
      </c>
      <c r="E28" s="384"/>
      <c r="F28" s="384"/>
      <c r="G28" s="396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4">
        <f>(L29+L30)/2</f>
        <v>78442477</v>
      </c>
      <c r="M28" s="30"/>
      <c r="N28" s="64">
        <f>(N29+N30)/2</f>
        <v>74724371</v>
      </c>
      <c r="O28" s="64">
        <f>(O29+O30)/2</f>
        <v>82389969</v>
      </c>
      <c r="P28" s="93">
        <f>(P29+P30)/2</f>
        <v>213887377</v>
      </c>
    </row>
    <row r="29" spans="1:16" ht="34.5" customHeight="1">
      <c r="A29" s="378"/>
      <c r="B29" s="67">
        <f>67335177-32314063-4027553-11038005</f>
        <v>19955556</v>
      </c>
      <c r="C29" s="67">
        <f>67335177</f>
        <v>67335177</v>
      </c>
      <c r="D29" s="52" t="s">
        <v>89</v>
      </c>
      <c r="E29" s="384"/>
      <c r="F29" s="384"/>
      <c r="G29" s="396"/>
      <c r="H29" s="67">
        <f>67335177</f>
        <v>67335177</v>
      </c>
      <c r="I29" s="67">
        <f>67335177</f>
        <v>67335177</v>
      </c>
      <c r="J29" s="67">
        <f>67335177</f>
        <v>67335177</v>
      </c>
      <c r="K29" s="67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19">
        <v>170001571</v>
      </c>
    </row>
    <row r="30" spans="1:16" ht="38.25" customHeight="1">
      <c r="A30" s="378"/>
      <c r="B30" s="67">
        <f>82046517-49629686-1582605-4591619</f>
        <v>26242607</v>
      </c>
      <c r="C30" s="67">
        <f>82046517</f>
        <v>82046517</v>
      </c>
      <c r="D30" s="52" t="s">
        <v>90</v>
      </c>
      <c r="E30" s="384"/>
      <c r="F30" s="384"/>
      <c r="G30" s="396"/>
      <c r="H30" s="67">
        <v>57822731</v>
      </c>
      <c r="I30" s="67">
        <v>71494525</v>
      </c>
      <c r="J30" s="67">
        <f>82046517</f>
        <v>82046517</v>
      </c>
      <c r="K30" s="67">
        <f>J30</f>
        <v>82046517</v>
      </c>
      <c r="L30" s="30">
        <v>86704415</v>
      </c>
      <c r="M30" s="30"/>
      <c r="N30" s="30">
        <v>79268203</v>
      </c>
      <c r="O30" s="142">
        <v>84128042</v>
      </c>
      <c r="P30" s="219">
        <v>257773183</v>
      </c>
    </row>
    <row r="31" spans="1:16" ht="30" customHeight="1">
      <c r="A31" s="378" t="s">
        <v>28</v>
      </c>
      <c r="B31" s="27">
        <f>B32/B33</f>
        <v>0.5350658455514048</v>
      </c>
      <c r="C31" s="27">
        <f>C32/C33</f>
        <v>0.12912495197622714</v>
      </c>
      <c r="D31" s="52" t="s">
        <v>92</v>
      </c>
      <c r="E31" s="384" t="s">
        <v>200</v>
      </c>
      <c r="F31" s="384" t="s">
        <v>95</v>
      </c>
      <c r="G31" s="396" t="s">
        <v>210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6">
        <f>L32/L33</f>
        <v>2.1125688391199916E-2</v>
      </c>
      <c r="M31" s="30">
        <v>5.0000000000000001E-3</v>
      </c>
      <c r="N31" s="56">
        <f>N32/N33</f>
        <v>3.5525470699123069E-3</v>
      </c>
      <c r="O31" s="132">
        <f>O32/O33</f>
        <v>3.6765727635205583E-3</v>
      </c>
      <c r="P31" s="94">
        <f>P32/P33</f>
        <v>0.1392367730944811</v>
      </c>
    </row>
    <row r="32" spans="1:16" ht="26.25">
      <c r="A32" s="378"/>
      <c r="B32" s="67">
        <f>9869808</f>
        <v>9869808</v>
      </c>
      <c r="C32" s="67">
        <f>9869808</f>
        <v>9869808</v>
      </c>
      <c r="D32" s="52" t="s">
        <v>93</v>
      </c>
      <c r="E32" s="384"/>
      <c r="F32" s="384"/>
      <c r="G32" s="396"/>
      <c r="H32" s="67">
        <f>8917657</f>
        <v>8917657</v>
      </c>
      <c r="I32" s="67">
        <f>9782823</f>
        <v>9782823</v>
      </c>
      <c r="J32" s="67">
        <f>9869808</f>
        <v>9869808</v>
      </c>
      <c r="K32" s="67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19">
        <v>28122071</v>
      </c>
    </row>
    <row r="33" spans="1:18" ht="26.25">
      <c r="A33" s="378"/>
      <c r="B33" s="67">
        <f>76436102-33758250-15597883-8634000</f>
        <v>18445969</v>
      </c>
      <c r="C33" s="67">
        <f>76436102</f>
        <v>76436102</v>
      </c>
      <c r="D33" s="52" t="s">
        <v>94</v>
      </c>
      <c r="E33" s="384"/>
      <c r="F33" s="384"/>
      <c r="G33" s="396"/>
      <c r="H33" s="67">
        <v>52433235</v>
      </c>
      <c r="I33" s="67">
        <v>65995067</v>
      </c>
      <c r="J33" s="67">
        <f>76436102</f>
        <v>76436102</v>
      </c>
      <c r="K33" s="67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19">
        <v>201973016</v>
      </c>
    </row>
    <row r="34" spans="1:18" ht="36.75" customHeight="1">
      <c r="A34" s="378" t="s">
        <v>30</v>
      </c>
      <c r="B34" s="28">
        <f>B35/(B36-B37)</f>
        <v>0.78676026691777556</v>
      </c>
      <c r="C34" s="27">
        <f>5610415/(C36-C37)</f>
        <v>8.3379645739997954E-2</v>
      </c>
      <c r="D34" s="52" t="s">
        <v>96</v>
      </c>
      <c r="E34" s="384" t="s">
        <v>201</v>
      </c>
      <c r="F34" s="384" t="s">
        <v>100</v>
      </c>
      <c r="G34" s="396" t="s">
        <v>214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8">
        <f>L35/(L36-L37)</f>
        <v>0.11545460079935674</v>
      </c>
      <c r="M34" s="58">
        <v>0.1</v>
      </c>
      <c r="N34" s="58">
        <f>N35/(N36-N37)</f>
        <v>0.12956929944637877</v>
      </c>
      <c r="O34" s="42">
        <f>O35/(O36-O37)</f>
        <v>0.11607570521668106</v>
      </c>
      <c r="P34" s="95">
        <f>P35/(P36-P37)</f>
        <v>0.2762753565060394</v>
      </c>
    </row>
    <row r="35" spans="1:18" ht="53.25" customHeight="1">
      <c r="A35" s="378"/>
      <c r="B35" s="67">
        <f>5610415</f>
        <v>5610415</v>
      </c>
      <c r="C35" s="67">
        <f>5610415</f>
        <v>5610415</v>
      </c>
      <c r="D35" s="52" t="s">
        <v>97</v>
      </c>
      <c r="E35" s="384"/>
      <c r="F35" s="384"/>
      <c r="G35" s="396"/>
      <c r="H35" s="67">
        <v>5389496</v>
      </c>
      <c r="I35" s="67">
        <v>5499458</v>
      </c>
      <c r="J35" s="67">
        <f>5610415</f>
        <v>5610415</v>
      </c>
      <c r="K35" s="67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19">
        <v>55800167</v>
      </c>
    </row>
    <row r="36" spans="1:18" ht="18" customHeight="1">
      <c r="A36" s="378"/>
      <c r="B36" s="67">
        <f>76436102-33758250-15597883-10800417</f>
        <v>16279552</v>
      </c>
      <c r="C36" s="67">
        <f>76436102</f>
        <v>76436102</v>
      </c>
      <c r="D36" s="52" t="s">
        <v>98</v>
      </c>
      <c r="E36" s="384"/>
      <c r="F36" s="384"/>
      <c r="G36" s="396"/>
      <c r="H36" s="67">
        <v>52433235</v>
      </c>
      <c r="I36" s="67">
        <v>65995067</v>
      </c>
      <c r="J36" s="67">
        <f>76436102</f>
        <v>76436102</v>
      </c>
      <c r="K36" s="67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19">
        <v>201973016</v>
      </c>
    </row>
    <row r="37" spans="1:18" ht="39" customHeight="1">
      <c r="A37" s="378"/>
      <c r="B37" s="67">
        <v>9148517</v>
      </c>
      <c r="C37" s="67">
        <v>9148517</v>
      </c>
      <c r="D37" s="52" t="s">
        <v>99</v>
      </c>
      <c r="E37" s="384"/>
      <c r="F37" s="384"/>
      <c r="G37" s="396"/>
      <c r="H37" s="67">
        <v>8467962</v>
      </c>
      <c r="I37" s="67">
        <f>8467962+700000</f>
        <v>9167962</v>
      </c>
      <c r="J37" s="67">
        <v>9148517</v>
      </c>
      <c r="K37" s="67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19">
        <v>0</v>
      </c>
    </row>
    <row r="38" spans="1:18" ht="25.5" customHeight="1">
      <c r="A38" s="378" t="s">
        <v>32</v>
      </c>
      <c r="B38" s="28">
        <f>B40/(B39/B41)</f>
        <v>10.410612570309821</v>
      </c>
      <c r="C38" s="28">
        <f>C40/(C39/C41)</f>
        <v>69.034826266322185</v>
      </c>
      <c r="D38" s="52" t="s">
        <v>101</v>
      </c>
      <c r="E38" s="384" t="s">
        <v>202</v>
      </c>
      <c r="F38" s="384" t="s">
        <v>105</v>
      </c>
      <c r="G38" s="396" t="s">
        <v>210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0">
        <f>L40/(L39/L41)</f>
        <v>104.57188830980415</v>
      </c>
      <c r="M38" s="80">
        <v>86</v>
      </c>
      <c r="N38" s="80">
        <f>N40/(N39/N41)</f>
        <v>31.118430454297378</v>
      </c>
      <c r="O38" s="134">
        <f>O40/(O39/O41)</f>
        <v>9.4331270935535159</v>
      </c>
      <c r="P38" s="79">
        <f>P40/(P39/P41)</f>
        <v>30.879618230807061</v>
      </c>
    </row>
    <row r="39" spans="1:18" ht="68.25" customHeight="1">
      <c r="A39" s="378"/>
      <c r="B39" s="67">
        <v>62516693</v>
      </c>
      <c r="C39" s="67">
        <v>62516693</v>
      </c>
      <c r="D39" s="52" t="s">
        <v>102</v>
      </c>
      <c r="E39" s="384"/>
      <c r="F39" s="384"/>
      <c r="G39" s="396"/>
      <c r="H39" s="67">
        <v>17693919</v>
      </c>
      <c r="I39" s="67">
        <v>38811034</v>
      </c>
      <c r="J39" s="67">
        <v>62516693</v>
      </c>
      <c r="K39" s="25">
        <f>J39/3*4</f>
        <v>83355590.666666672</v>
      </c>
      <c r="L39" s="30">
        <v>46104172</v>
      </c>
      <c r="M39" s="30"/>
      <c r="N39" s="84">
        <v>102585404</v>
      </c>
      <c r="O39" s="30">
        <v>115979242</v>
      </c>
      <c r="P39" s="219">
        <v>180363008</v>
      </c>
    </row>
    <row r="40" spans="1:18" ht="30.75" customHeight="1">
      <c r="A40" s="378"/>
      <c r="B40" s="67">
        <v>90</v>
      </c>
      <c r="C40" s="67">
        <v>90</v>
      </c>
      <c r="D40" s="52" t="s">
        <v>103</v>
      </c>
      <c r="E40" s="384"/>
      <c r="F40" s="384"/>
      <c r="G40" s="396"/>
      <c r="H40" s="67">
        <v>90</v>
      </c>
      <c r="I40" s="67">
        <v>90</v>
      </c>
      <c r="J40" s="67">
        <v>90</v>
      </c>
      <c r="K40" s="67">
        <v>90</v>
      </c>
      <c r="L40" s="30">
        <v>90</v>
      </c>
      <c r="M40" s="30"/>
      <c r="N40" s="30">
        <v>90</v>
      </c>
      <c r="O40" s="30">
        <v>90</v>
      </c>
      <c r="P40" s="128">
        <v>90</v>
      </c>
    </row>
    <row r="41" spans="1:18" ht="99.75" customHeight="1">
      <c r="A41" s="378"/>
      <c r="B41" s="67">
        <f>47953656-33758250-15597883--8634000</f>
        <v>7231523</v>
      </c>
      <c r="C41" s="67">
        <f>47953656</f>
        <v>47953656</v>
      </c>
      <c r="D41" s="52" t="s">
        <v>104</v>
      </c>
      <c r="E41" s="384"/>
      <c r="F41" s="384"/>
      <c r="G41" s="396"/>
      <c r="H41" s="67">
        <f>37506524</f>
        <v>37506524</v>
      </c>
      <c r="I41" s="67">
        <f>51892632</f>
        <v>51892632</v>
      </c>
      <c r="J41" s="67">
        <f>47953656</f>
        <v>47953656</v>
      </c>
      <c r="K41" s="67">
        <f>J41</f>
        <v>47953656</v>
      </c>
      <c r="L41" s="64">
        <f>(41047114+66090671)/2</f>
        <v>53568892.5</v>
      </c>
      <c r="M41" s="30"/>
      <c r="N41" s="30">
        <v>35469964</v>
      </c>
      <c r="O41" s="30">
        <v>12156077</v>
      </c>
      <c r="P41" s="219">
        <v>61883787</v>
      </c>
    </row>
    <row r="42" spans="1:18" s="53" customFormat="1" ht="15" customHeight="1">
      <c r="A42" s="384" t="s">
        <v>34</v>
      </c>
      <c r="B42" s="28">
        <f>B44/(B43/B45)</f>
        <v>1.462351343504366</v>
      </c>
      <c r="C42" s="28">
        <f>C44/(C43/C45)</f>
        <v>10.350855570687337</v>
      </c>
      <c r="D42" s="52" t="s">
        <v>106</v>
      </c>
      <c r="E42" s="384" t="s">
        <v>203</v>
      </c>
      <c r="F42" s="384" t="s">
        <v>109</v>
      </c>
      <c r="G42" s="396" t="s">
        <v>211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0">
        <f>L44/(L43/L45)</f>
        <v>38.759709967245477</v>
      </c>
      <c r="M42" s="30">
        <v>21.7</v>
      </c>
      <c r="N42" s="80">
        <f>N44/(N43/N45)</f>
        <v>14.574668146747269</v>
      </c>
      <c r="O42" s="134">
        <f>O44/(O43/O45)</f>
        <v>11.392683097549474</v>
      </c>
      <c r="P42" s="79">
        <f>P44/(P43/P45)</f>
        <v>19.475601837378981</v>
      </c>
    </row>
    <row r="43" spans="1:18" s="53" customFormat="1" ht="51.75">
      <c r="A43" s="384"/>
      <c r="B43" s="67">
        <v>62516693</v>
      </c>
      <c r="C43" s="67">
        <v>62516693</v>
      </c>
      <c r="D43" s="52" t="s">
        <v>107</v>
      </c>
      <c r="E43" s="384"/>
      <c r="F43" s="384"/>
      <c r="G43" s="396"/>
      <c r="H43" s="67">
        <f>H39</f>
        <v>17693919</v>
      </c>
      <c r="I43" s="67">
        <f>I39</f>
        <v>38811034</v>
      </c>
      <c r="J43" s="67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8">
        <f t="shared" si="0"/>
        <v>115979242</v>
      </c>
      <c r="P43" s="219">
        <f t="shared" si="0"/>
        <v>180363008</v>
      </c>
    </row>
    <row r="44" spans="1:18" s="53" customFormat="1">
      <c r="A44" s="384"/>
      <c r="B44" s="67">
        <v>90</v>
      </c>
      <c r="C44" s="67">
        <v>90</v>
      </c>
      <c r="D44" s="52" t="s">
        <v>108</v>
      </c>
      <c r="E44" s="384"/>
      <c r="F44" s="384"/>
      <c r="G44" s="396"/>
      <c r="H44" s="67">
        <v>90</v>
      </c>
      <c r="I44" s="67">
        <v>90</v>
      </c>
      <c r="J44" s="67">
        <v>90</v>
      </c>
      <c r="K44" s="67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8">
        <f t="shared" si="0"/>
        <v>90</v>
      </c>
    </row>
    <row r="45" spans="1:18" s="53" customFormat="1" ht="51.75">
      <c r="A45" s="384"/>
      <c r="B45" s="67">
        <f>7190014-1582602-4591619</f>
        <v>1015793</v>
      </c>
      <c r="C45" s="67">
        <f>7190014</f>
        <v>7190014</v>
      </c>
      <c r="D45" s="52" t="s">
        <v>258</v>
      </c>
      <c r="E45" s="384"/>
      <c r="F45" s="384"/>
      <c r="G45" s="396"/>
      <c r="H45" s="67">
        <v>14898455</v>
      </c>
      <c r="I45" s="67">
        <f>13908906</f>
        <v>13908906</v>
      </c>
      <c r="J45" s="67">
        <f>7190014</f>
        <v>7190014</v>
      </c>
      <c r="K45" s="67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19">
        <f>(31272274+46787240)/2</f>
        <v>39029757</v>
      </c>
    </row>
    <row r="46" spans="1:18" ht="39" customHeight="1">
      <c r="A46" s="378" t="s">
        <v>36</v>
      </c>
      <c r="B46" s="27">
        <f>B47/(B48-B49)</f>
        <v>1.3240730034044115</v>
      </c>
      <c r="C46" s="27">
        <f>C47/(C48-C49)</f>
        <v>1.0171406062500237</v>
      </c>
      <c r="D46" s="52" t="s">
        <v>110</v>
      </c>
      <c r="E46" s="384" t="s">
        <v>204</v>
      </c>
      <c r="F46" s="384" t="s">
        <v>111</v>
      </c>
      <c r="G46" s="396" t="s">
        <v>212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8">
        <f>L47/(L48-L49)</f>
        <v>0.95315012028574497</v>
      </c>
      <c r="M46" s="30">
        <v>0.96</v>
      </c>
      <c r="N46" s="58">
        <f>N47/(N48-N49)</f>
        <v>0.95206075555174374</v>
      </c>
      <c r="O46" s="42">
        <f>O47/(O48-O49)</f>
        <v>0.94899742023967415</v>
      </c>
      <c r="P46" s="95">
        <f>P47/(P48-P49)</f>
        <v>1.1243354805376575</v>
      </c>
    </row>
    <row r="47" spans="1:18" ht="39">
      <c r="A47" s="378"/>
      <c r="B47" s="67">
        <f>68440935</f>
        <v>68440935</v>
      </c>
      <c r="C47" s="67">
        <f>68440935</f>
        <v>68440935</v>
      </c>
      <c r="D47" s="52" t="s">
        <v>259</v>
      </c>
      <c r="E47" s="384"/>
      <c r="F47" s="384"/>
      <c r="G47" s="396"/>
      <c r="H47" s="67">
        <v>48702121</v>
      </c>
      <c r="I47" s="67">
        <f>62320612</f>
        <v>62320612</v>
      </c>
      <c r="J47" s="67">
        <f>68440935</f>
        <v>68440935</v>
      </c>
      <c r="K47" s="67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19">
        <v>227085428</v>
      </c>
    </row>
    <row r="48" spans="1:18" s="86" customFormat="1" ht="16.5" customHeight="1">
      <c r="A48" s="378"/>
      <c r="B48" s="83">
        <f>76436102-15597886</f>
        <v>60838216</v>
      </c>
      <c r="C48" s="83">
        <f>76436102</f>
        <v>76436102</v>
      </c>
      <c r="D48" s="104" t="s">
        <v>254</v>
      </c>
      <c r="E48" s="384"/>
      <c r="F48" s="384"/>
      <c r="G48" s="396"/>
      <c r="H48" s="83">
        <v>52433235</v>
      </c>
      <c r="I48" s="83">
        <f>I33</f>
        <v>65995067</v>
      </c>
      <c r="J48" s="83">
        <f>76436102</f>
        <v>76436102</v>
      </c>
      <c r="K48" s="83">
        <f>J48</f>
        <v>76436102</v>
      </c>
      <c r="L48" s="84">
        <f>78657773</f>
        <v>78657773</v>
      </c>
      <c r="M48" s="84"/>
      <c r="N48" s="84">
        <f t="shared" ref="N48:O49" si="1">N36</f>
        <v>71123882</v>
      </c>
      <c r="O48" s="84">
        <f t="shared" si="1"/>
        <v>76017016</v>
      </c>
      <c r="P48" s="84">
        <v>201973016</v>
      </c>
      <c r="Q48" s="218"/>
      <c r="R48" s="218"/>
    </row>
    <row r="49" spans="1:19" ht="57.75" customHeight="1">
      <c r="A49" s="378"/>
      <c r="B49" s="67">
        <v>9148517</v>
      </c>
      <c r="C49" s="67">
        <v>9148517</v>
      </c>
      <c r="D49" s="52" t="s">
        <v>99</v>
      </c>
      <c r="E49" s="384"/>
      <c r="F49" s="384"/>
      <c r="G49" s="396"/>
      <c r="H49" s="67">
        <f>8917657</f>
        <v>8917657</v>
      </c>
      <c r="I49" s="67">
        <f>9782823</f>
        <v>9782823</v>
      </c>
      <c r="J49" s="67">
        <v>9148517</v>
      </c>
      <c r="K49" s="67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19">
        <f>P37</f>
        <v>0</v>
      </c>
    </row>
    <row r="50" spans="1:19" ht="21" customHeight="1">
      <c r="A50" s="378" t="s">
        <v>112</v>
      </c>
      <c r="B50" s="27">
        <f>B51/B53</f>
        <v>0.29976457435512555</v>
      </c>
      <c r="C50" s="27">
        <f>C51/C53</f>
        <v>0.29976457435512555</v>
      </c>
      <c r="D50" s="52" t="s">
        <v>113</v>
      </c>
      <c r="E50" s="384" t="s">
        <v>205</v>
      </c>
      <c r="F50" s="384" t="s">
        <v>206</v>
      </c>
      <c r="H50" s="27"/>
      <c r="I50" s="27"/>
      <c r="J50" s="27">
        <f>J51/J53</f>
        <v>0.29976457435512555</v>
      </c>
      <c r="K50" s="27">
        <f>K51/K53</f>
        <v>0.29976457435512555</v>
      </c>
      <c r="L50" s="58">
        <f>L51/L53</f>
        <v>0.69490943475885791</v>
      </c>
      <c r="M50" s="402" t="s">
        <v>256</v>
      </c>
      <c r="N50" s="58">
        <f>N51/N53</f>
        <v>0.49943343786161426</v>
      </c>
      <c r="O50" s="42">
        <f>O51/O53</f>
        <v>599.67379320261239</v>
      </c>
      <c r="P50" s="58">
        <f>P51/P53</f>
        <v>0.27777777777777779</v>
      </c>
    </row>
    <row r="51" spans="1:19" ht="35.25" customHeight="1">
      <c r="A51" s="378"/>
      <c r="B51" s="67">
        <v>38.799999999999997</v>
      </c>
      <c r="C51" s="67">
        <v>38.799999999999997</v>
      </c>
      <c r="D51" s="52" t="s">
        <v>114</v>
      </c>
      <c r="E51" s="384"/>
      <c r="F51" s="384"/>
      <c r="H51" s="67"/>
      <c r="I51" s="67"/>
      <c r="J51" s="67">
        <v>38.799999999999997</v>
      </c>
      <c r="K51" s="67">
        <v>38.799999999999997</v>
      </c>
      <c r="L51" s="30">
        <v>309.85000000000002</v>
      </c>
      <c r="M51" s="402"/>
      <c r="N51" s="30">
        <v>309.85000000000002</v>
      </c>
      <c r="O51" s="81">
        <v>309.85000000000002</v>
      </c>
      <c r="P51" s="81">
        <v>1</v>
      </c>
      <c r="S51">
        <f>P51*P56</f>
        <v>1</v>
      </c>
    </row>
    <row r="52" spans="1:19" ht="20.25" customHeight="1">
      <c r="A52" s="378"/>
      <c r="B52" s="67"/>
      <c r="C52" s="67"/>
      <c r="D52" s="52" t="s">
        <v>115</v>
      </c>
      <c r="E52" s="384"/>
      <c r="F52" s="384"/>
      <c r="H52" s="67"/>
      <c r="I52" s="67"/>
      <c r="J52" s="67"/>
      <c r="K52" s="67"/>
      <c r="L52" s="30"/>
      <c r="M52" s="402"/>
      <c r="N52" s="30"/>
      <c r="O52" s="68"/>
      <c r="P52" s="68">
        <v>1</v>
      </c>
    </row>
    <row r="53" spans="1:19" ht="20.25" customHeight="1">
      <c r="A53" s="378"/>
      <c r="B53" s="28">
        <f>(B54-B55)/B56</f>
        <v>129.43490765534673</v>
      </c>
      <c r="C53" s="24">
        <f>(C54-C55)/C56</f>
        <v>129.43490765534673</v>
      </c>
      <c r="D53" s="52" t="s">
        <v>116</v>
      </c>
      <c r="E53" s="384"/>
      <c r="F53" s="384"/>
      <c r="H53" s="24"/>
      <c r="I53" s="24"/>
      <c r="J53" s="24">
        <f>(J54-J55)/J56</f>
        <v>129.43490765534673</v>
      </c>
      <c r="K53" s="24">
        <f>(K54-K55)/K56</f>
        <v>129.43490765534673</v>
      </c>
      <c r="L53" s="56">
        <f>(L54-L55)/L56</f>
        <v>445.88544132736058</v>
      </c>
      <c r="M53" s="402"/>
      <c r="N53" s="56">
        <f>(N54-N55)/N56</f>
        <v>620.4029936935359</v>
      </c>
      <c r="O53" s="41">
        <f>(O54-O55)/O56</f>
        <v>0.51669758377336772</v>
      </c>
      <c r="P53" s="41">
        <f>(P54-P55)/P56</f>
        <v>3.6</v>
      </c>
    </row>
    <row r="54" spans="1:19" s="86" customFormat="1" ht="44.25" customHeight="1">
      <c r="A54" s="378"/>
      <c r="B54" s="83">
        <v>331125000</v>
      </c>
      <c r="C54" s="83">
        <v>331125000</v>
      </c>
      <c r="D54" s="83" t="s">
        <v>255</v>
      </c>
      <c r="E54" s="384"/>
      <c r="F54" s="384"/>
      <c r="G54" s="105"/>
      <c r="H54" s="83"/>
      <c r="I54" s="83"/>
      <c r="J54" s="83">
        <v>331125000</v>
      </c>
      <c r="K54" s="83">
        <v>331125000</v>
      </c>
      <c r="L54" s="84">
        <v>1140408000</v>
      </c>
      <c r="M54" s="402"/>
      <c r="N54" s="84">
        <v>1586715000</v>
      </c>
      <c r="O54" s="85">
        <v>1323466</v>
      </c>
      <c r="P54" s="84">
        <v>3.7</v>
      </c>
      <c r="Q54" s="218"/>
      <c r="R54" s="204"/>
    </row>
    <row r="55" spans="1:19" ht="33" customHeight="1">
      <c r="A55" s="378"/>
      <c r="B55" s="25">
        <v>111273.60000000001</v>
      </c>
      <c r="C55" s="25">
        <v>111273.60000000001</v>
      </c>
      <c r="D55" s="52" t="s">
        <v>117</v>
      </c>
      <c r="E55" s="384"/>
      <c r="F55" s="384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402"/>
      <c r="N55" s="30">
        <v>111273.60000000001</v>
      </c>
      <c r="O55" s="81">
        <v>2076</v>
      </c>
      <c r="P55" s="224">
        <v>0.1</v>
      </c>
    </row>
    <row r="56" spans="1:19" ht="37.5" customHeight="1">
      <c r="A56" s="378"/>
      <c r="B56" s="67">
        <v>2557376</v>
      </c>
      <c r="C56" s="67">
        <v>2557376</v>
      </c>
      <c r="D56" s="52" t="s">
        <v>118</v>
      </c>
      <c r="E56" s="384"/>
      <c r="F56" s="384"/>
      <c r="H56" s="67"/>
      <c r="I56" s="67"/>
      <c r="J56" s="67">
        <v>2557376</v>
      </c>
      <c r="K56" s="67">
        <v>2557376</v>
      </c>
      <c r="L56" s="30">
        <v>2557376</v>
      </c>
      <c r="M56" s="402"/>
      <c r="N56" s="30">
        <v>2557376</v>
      </c>
      <c r="O56" s="68">
        <v>2557376</v>
      </c>
      <c r="P56" s="219">
        <v>1</v>
      </c>
    </row>
    <row r="57" spans="1:19" ht="96.75" customHeight="1">
      <c r="A57" s="3" t="s">
        <v>40</v>
      </c>
      <c r="B57" s="67"/>
      <c r="C57" s="67"/>
      <c r="D57" s="67" t="s">
        <v>119</v>
      </c>
      <c r="E57" s="67" t="s">
        <v>120</v>
      </c>
      <c r="F57" s="67" t="s">
        <v>121</v>
      </c>
      <c r="H57" s="67"/>
      <c r="I57" s="67"/>
      <c r="J57" s="67"/>
      <c r="K57" s="67"/>
      <c r="L57" s="30"/>
      <c r="M57" s="30"/>
      <c r="N57" s="30"/>
      <c r="O57" s="68"/>
      <c r="P57" s="68"/>
    </row>
    <row r="58" spans="1:19" ht="15.75">
      <c r="A58" s="4" t="s">
        <v>0</v>
      </c>
      <c r="B58" s="106"/>
      <c r="C58" s="106"/>
      <c r="D58" s="51"/>
      <c r="E58" s="51"/>
      <c r="F58" s="51"/>
    </row>
    <row r="59" spans="1:19" ht="15.75">
      <c r="A59" s="4"/>
      <c r="B59" s="106"/>
      <c r="C59" s="106"/>
      <c r="D59" s="51"/>
      <c r="E59" s="51"/>
      <c r="F59" s="51"/>
    </row>
    <row r="60" spans="1:19" ht="15.75">
      <c r="A60" s="403" t="s">
        <v>213</v>
      </c>
      <c r="B60" s="403"/>
      <c r="C60" s="403"/>
      <c r="D60" s="403"/>
      <c r="E60" s="403"/>
      <c r="F60" s="403"/>
    </row>
    <row r="61" spans="1:19" ht="15.75">
      <c r="A61" s="4"/>
      <c r="B61" s="106"/>
      <c r="C61" s="106"/>
      <c r="D61" s="51"/>
      <c r="E61" s="51"/>
      <c r="F61" s="51"/>
    </row>
    <row r="62" spans="1:19" ht="15.75">
      <c r="A62" s="4"/>
      <c r="B62" s="106"/>
      <c r="C62" s="106"/>
      <c r="D62" s="51"/>
      <c r="E62" s="51"/>
      <c r="F62" s="51"/>
    </row>
    <row r="63" spans="1:19" ht="15.75">
      <c r="A63" s="4"/>
      <c r="B63" s="106"/>
      <c r="C63" s="106"/>
      <c r="D63" s="51"/>
      <c r="E63" s="51"/>
      <c r="F63" s="51"/>
    </row>
    <row r="64" spans="1:19" ht="15.75">
      <c r="A64" s="4"/>
      <c r="B64" s="106"/>
      <c r="C64" s="106"/>
      <c r="D64" s="51"/>
      <c r="E64" s="51"/>
      <c r="F64" s="51"/>
    </row>
    <row r="65" spans="1:6">
      <c r="A65" s="2"/>
      <c r="B65" s="51"/>
      <c r="C65" s="51"/>
      <c r="D65" s="51"/>
      <c r="E65" s="51"/>
      <c r="F65" s="51"/>
    </row>
    <row r="67" spans="1:6" ht="15.75">
      <c r="A67" s="4"/>
      <c r="B67" s="106"/>
      <c r="C67" s="106"/>
      <c r="D67" s="51"/>
      <c r="E67" s="51"/>
      <c r="F67" s="51"/>
    </row>
    <row r="68" spans="1:6" ht="15.75">
      <c r="A68" s="4"/>
      <c r="B68" s="106"/>
      <c r="C68" s="106"/>
      <c r="D68" s="51"/>
      <c r="E68" s="51"/>
      <c r="F68" s="51"/>
    </row>
  </sheetData>
  <mergeCells count="59">
    <mergeCell ref="M50:M56"/>
    <mergeCell ref="E50:E56"/>
    <mergeCell ref="F50:F56"/>
    <mergeCell ref="A60:F60"/>
    <mergeCell ref="A46:A49"/>
    <mergeCell ref="A50:A56"/>
    <mergeCell ref="E46:E49"/>
    <mergeCell ref="F46:F49"/>
    <mergeCell ref="A31:A33"/>
    <mergeCell ref="A34:A37"/>
    <mergeCell ref="F34:F37"/>
    <mergeCell ref="E25:E30"/>
    <mergeCell ref="E31:E33"/>
    <mergeCell ref="F31:F33"/>
    <mergeCell ref="A25:A30"/>
    <mergeCell ref="F25:F30"/>
    <mergeCell ref="A38:A41"/>
    <mergeCell ref="F38:F41"/>
    <mergeCell ref="A42:A45"/>
    <mergeCell ref="F42:F45"/>
    <mergeCell ref="E34:E37"/>
    <mergeCell ref="E38:E41"/>
    <mergeCell ref="E42:E45"/>
    <mergeCell ref="A1:F1"/>
    <mergeCell ref="A2:F2"/>
    <mergeCell ref="A3:F3"/>
    <mergeCell ref="A4:F4"/>
    <mergeCell ref="E8:E20"/>
    <mergeCell ref="A8:A20"/>
    <mergeCell ref="A7:F7"/>
    <mergeCell ref="C10:C17"/>
    <mergeCell ref="C18:C20"/>
    <mergeCell ref="B10:B17"/>
    <mergeCell ref="B18:B20"/>
    <mergeCell ref="F8:F20"/>
    <mergeCell ref="H10:H17"/>
    <mergeCell ref="H18:H20"/>
    <mergeCell ref="G42:G45"/>
    <mergeCell ref="G46:G49"/>
    <mergeCell ref="G31:G33"/>
    <mergeCell ref="G25:G30"/>
    <mergeCell ref="G38:G41"/>
    <mergeCell ref="G34:G37"/>
    <mergeCell ref="P10:P17"/>
    <mergeCell ref="P18:P20"/>
    <mergeCell ref="K10:K17"/>
    <mergeCell ref="K18:K20"/>
    <mergeCell ref="I10:I17"/>
    <mergeCell ref="I18:I20"/>
    <mergeCell ref="J10:J17"/>
    <mergeCell ref="J18:J20"/>
    <mergeCell ref="L10:L17"/>
    <mergeCell ref="M10:M17"/>
    <mergeCell ref="N10:N17"/>
    <mergeCell ref="L18:L20"/>
    <mergeCell ref="M18:M20"/>
    <mergeCell ref="N18:N20"/>
    <mergeCell ref="O10:O17"/>
    <mergeCell ref="O18:O20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E7" sqref="E7:E19"/>
    </sheetView>
  </sheetViews>
  <sheetFormatPr defaultRowHeight="15"/>
  <cols>
    <col min="1" max="1" width="9.140625" style="53"/>
    <col min="2" max="2" width="58.85546875" style="53" customWidth="1"/>
    <col min="3" max="3" width="10.140625" style="141" customWidth="1"/>
    <col min="4" max="4" width="12.28515625" style="53" customWidth="1"/>
    <col min="5" max="5" width="12" style="53" customWidth="1"/>
    <col min="6" max="6" width="11.85546875" style="53" customWidth="1"/>
    <col min="7" max="7" width="14" style="53" customWidth="1"/>
    <col min="8" max="16384" width="9.140625" style="53"/>
  </cols>
  <sheetData>
    <row r="1" spans="1:7">
      <c r="A1" s="347" t="s">
        <v>42</v>
      </c>
      <c r="B1" s="347"/>
      <c r="C1" s="347"/>
      <c r="D1" s="347"/>
      <c r="E1" s="347"/>
      <c r="F1" s="347"/>
      <c r="G1" s="347"/>
    </row>
    <row r="2" spans="1:7">
      <c r="A2" s="347" t="s">
        <v>3</v>
      </c>
      <c r="B2" s="347"/>
      <c r="C2" s="347"/>
      <c r="D2" s="347"/>
      <c r="E2" s="347"/>
      <c r="F2" s="347"/>
      <c r="G2" s="347"/>
    </row>
    <row r="3" spans="1:7" ht="18.75">
      <c r="A3" s="406" t="s">
        <v>286</v>
      </c>
      <c r="B3" s="406"/>
      <c r="C3" s="406"/>
      <c r="D3" s="406"/>
      <c r="E3" s="406"/>
      <c r="F3" s="406"/>
      <c r="G3" s="406"/>
    </row>
    <row r="4" spans="1:7" ht="18.75">
      <c r="A4" s="406" t="s">
        <v>292</v>
      </c>
      <c r="B4" s="406"/>
      <c r="C4" s="406"/>
      <c r="D4" s="406"/>
      <c r="E4" s="406"/>
      <c r="F4" s="406"/>
      <c r="G4" s="406"/>
    </row>
    <row r="5" spans="1:7" ht="38.25">
      <c r="A5" s="202" t="s">
        <v>6</v>
      </c>
      <c r="B5" s="202" t="s">
        <v>7</v>
      </c>
      <c r="C5" s="202" t="s">
        <v>180</v>
      </c>
      <c r="D5" s="202" t="s">
        <v>217</v>
      </c>
      <c r="E5" s="202" t="s">
        <v>181</v>
      </c>
      <c r="F5" s="202" t="s">
        <v>182</v>
      </c>
      <c r="G5" s="202" t="s">
        <v>8</v>
      </c>
    </row>
    <row r="6" spans="1:7">
      <c r="A6" s="202"/>
      <c r="B6" s="202" t="s">
        <v>9</v>
      </c>
      <c r="C6" s="202" t="s">
        <v>10</v>
      </c>
      <c r="D6" s="202" t="s">
        <v>11</v>
      </c>
      <c r="E6" s="202" t="s">
        <v>12</v>
      </c>
      <c r="F6" s="202" t="s">
        <v>13</v>
      </c>
      <c r="G6" s="202" t="s">
        <v>14</v>
      </c>
    </row>
    <row r="7" spans="1:7" ht="16.5" customHeight="1">
      <c r="A7" s="330" t="s">
        <v>15</v>
      </c>
      <c r="B7" s="332" t="s">
        <v>43</v>
      </c>
      <c r="C7" s="54">
        <v>20</v>
      </c>
      <c r="D7" s="63">
        <v>0.56000000000000005</v>
      </c>
      <c r="E7" s="49">
        <f>'При №3 б'!O7</f>
        <v>0.58519911146806491</v>
      </c>
      <c r="F7" s="55">
        <f>D7/E7*100</f>
        <v>95.693925200117121</v>
      </c>
      <c r="G7" s="55">
        <f>F7*C7/100</f>
        <v>19.138785040023425</v>
      </c>
    </row>
    <row r="8" spans="1:7" ht="16.5" customHeight="1">
      <c r="A8" s="330" t="s">
        <v>17</v>
      </c>
      <c r="B8" s="332" t="s">
        <v>44</v>
      </c>
      <c r="C8" s="54">
        <v>15</v>
      </c>
      <c r="D8" s="172">
        <v>1.4999999999999999E-2</v>
      </c>
      <c r="E8" s="59">
        <f>'При №3 б'!O10</f>
        <v>0.16859778241244971</v>
      </c>
      <c r="F8" s="55">
        <f t="shared" ref="F8:F11" si="0">E8/D8*100</f>
        <v>1123.985216082998</v>
      </c>
      <c r="G8" s="55">
        <f t="shared" ref="G8:G19" si="1">F8*C8/100</f>
        <v>168.5977824124497</v>
      </c>
    </row>
    <row r="9" spans="1:7" ht="16.5" customHeight="1">
      <c r="A9" s="330" t="s">
        <v>19</v>
      </c>
      <c r="B9" s="332" t="s">
        <v>45</v>
      </c>
      <c r="C9" s="54">
        <v>15</v>
      </c>
      <c r="D9" s="172">
        <v>527760</v>
      </c>
      <c r="E9" s="55">
        <f>'При №3 б'!O13</f>
        <v>494145.22739726026</v>
      </c>
      <c r="F9" s="55">
        <f t="shared" si="0"/>
        <v>93.630670645228946</v>
      </c>
      <c r="G9" s="55">
        <f t="shared" si="1"/>
        <v>14.044600596784342</v>
      </c>
    </row>
    <row r="10" spans="1:7" ht="16.5" customHeight="1">
      <c r="A10" s="330" t="s">
        <v>21</v>
      </c>
      <c r="B10" s="332" t="s">
        <v>46</v>
      </c>
      <c r="C10" s="54">
        <v>15</v>
      </c>
      <c r="D10" s="172">
        <v>7.9</v>
      </c>
      <c r="E10" s="57">
        <f>'При №3 б'!O16</f>
        <v>8.0776872815114622</v>
      </c>
      <c r="F10" s="55">
        <f t="shared" si="0"/>
        <v>102.24920609508179</v>
      </c>
      <c r="G10" s="55">
        <f t="shared" si="1"/>
        <v>15.337380914262269</v>
      </c>
    </row>
    <row r="11" spans="1:7" ht="16.5" customHeight="1">
      <c r="A11" s="330" t="s">
        <v>23</v>
      </c>
      <c r="B11" s="332" t="s">
        <v>47</v>
      </c>
      <c r="C11" s="54">
        <v>15</v>
      </c>
      <c r="D11" s="173">
        <v>0.88</v>
      </c>
      <c r="E11" s="49">
        <f>'При №3 б'!O21</f>
        <v>0.88200000000000012</v>
      </c>
      <c r="F11" s="55">
        <f t="shared" si="0"/>
        <v>100.22727272727275</v>
      </c>
      <c r="G11" s="55">
        <f t="shared" si="1"/>
        <v>15.034090909090912</v>
      </c>
    </row>
    <row r="12" spans="1:7" ht="27.75" customHeight="1">
      <c r="A12" s="330" t="s">
        <v>25</v>
      </c>
      <c r="B12" s="332" t="s">
        <v>48</v>
      </c>
      <c r="C12" s="54">
        <v>5</v>
      </c>
      <c r="D12" s="172">
        <v>0.03</v>
      </c>
      <c r="E12" s="49">
        <f>'При №3 б'!O26</f>
        <v>2.75E-2</v>
      </c>
      <c r="F12" s="55">
        <f>D12/E12*100</f>
        <v>109.09090909090908</v>
      </c>
      <c r="G12" s="55">
        <f t="shared" si="1"/>
        <v>5.4545454545454541</v>
      </c>
    </row>
    <row r="13" spans="1:7" ht="27.75" customHeight="1">
      <c r="A13" s="330" t="s">
        <v>27</v>
      </c>
      <c r="B13" s="332" t="s">
        <v>49</v>
      </c>
      <c r="C13" s="54">
        <v>0</v>
      </c>
      <c r="D13" s="172">
        <v>0</v>
      </c>
      <c r="E13" s="54">
        <f>'При №3 б'!O29</f>
        <v>0</v>
      </c>
      <c r="F13" s="55">
        <v>0</v>
      </c>
      <c r="G13" s="55">
        <f t="shared" si="1"/>
        <v>0</v>
      </c>
    </row>
    <row r="14" spans="1:7" ht="27.75" customHeight="1">
      <c r="A14" s="330" t="s">
        <v>29</v>
      </c>
      <c r="B14" s="332" t="s">
        <v>50</v>
      </c>
      <c r="C14" s="54">
        <v>0</v>
      </c>
      <c r="D14" s="172">
        <v>0</v>
      </c>
      <c r="E14" s="54">
        <f>'При №3 б'!O33</f>
        <v>0</v>
      </c>
      <c r="F14" s="55">
        <v>0</v>
      </c>
      <c r="G14" s="55">
        <f t="shared" si="1"/>
        <v>0</v>
      </c>
    </row>
    <row r="15" spans="1:7" ht="17.25" customHeight="1">
      <c r="A15" s="330" t="s">
        <v>31</v>
      </c>
      <c r="B15" s="332" t="s">
        <v>51</v>
      </c>
      <c r="C15" s="54">
        <v>10</v>
      </c>
      <c r="D15" s="174">
        <v>28.9</v>
      </c>
      <c r="E15" s="57">
        <f>'При №3 б'!O37</f>
        <v>75.295890410958904</v>
      </c>
      <c r="F15" s="55">
        <f>E15/D15*100</f>
        <v>260.539413186709</v>
      </c>
      <c r="G15" s="55">
        <f t="shared" si="1"/>
        <v>26.053941318670901</v>
      </c>
    </row>
    <row r="16" spans="1:7" ht="17.25" customHeight="1">
      <c r="A16" s="330" t="s">
        <v>33</v>
      </c>
      <c r="B16" s="332" t="s">
        <v>52</v>
      </c>
      <c r="C16" s="54">
        <v>5</v>
      </c>
      <c r="D16" s="172">
        <v>1.0900000000000001</v>
      </c>
      <c r="E16" s="49">
        <f>'При №3 б'!O40</f>
        <v>1.0862745098039215</v>
      </c>
      <c r="F16" s="55">
        <f>D16/E16*100</f>
        <v>100.34296028880867</v>
      </c>
      <c r="G16" s="55">
        <f t="shared" si="1"/>
        <v>5.0171480144404335</v>
      </c>
    </row>
    <row r="17" spans="1:10" ht="29.25" customHeight="1">
      <c r="A17" s="330" t="s">
        <v>35</v>
      </c>
      <c r="B17" s="332" t="s">
        <v>53</v>
      </c>
      <c r="C17" s="54">
        <v>0</v>
      </c>
      <c r="D17" s="172"/>
      <c r="E17" s="54">
        <f>'При №3 б'!O42</f>
        <v>0</v>
      </c>
      <c r="F17" s="57">
        <v>0</v>
      </c>
      <c r="G17" s="55">
        <f t="shared" si="1"/>
        <v>0</v>
      </c>
    </row>
    <row r="18" spans="1:10" ht="29.25" customHeight="1">
      <c r="A18" s="330" t="s">
        <v>37</v>
      </c>
      <c r="B18" s="332" t="s">
        <v>54</v>
      </c>
      <c r="C18" s="54">
        <v>0</v>
      </c>
      <c r="D18" s="172"/>
      <c r="E18" s="54">
        <f>'При №3 б'!O43</f>
        <v>0</v>
      </c>
      <c r="F18" s="57">
        <v>0</v>
      </c>
      <c r="G18" s="55">
        <f t="shared" si="1"/>
        <v>0</v>
      </c>
    </row>
    <row r="19" spans="1:10" ht="29.25" customHeight="1" thickBot="1">
      <c r="A19" s="330" t="s">
        <v>39</v>
      </c>
      <c r="B19" s="332" t="s">
        <v>55</v>
      </c>
      <c r="C19" s="54">
        <v>0</v>
      </c>
      <c r="D19" s="177">
        <v>0</v>
      </c>
      <c r="E19" s="54">
        <f>'При №3 б'!O44</f>
        <v>0</v>
      </c>
      <c r="F19" s="57">
        <v>0</v>
      </c>
      <c r="G19" s="55">
        <f t="shared" si="1"/>
        <v>0</v>
      </c>
    </row>
    <row r="20" spans="1:10" s="149" customFormat="1" ht="22.5" customHeight="1" thickBot="1">
      <c r="A20" s="372" t="s">
        <v>56</v>
      </c>
      <c r="B20" s="372"/>
      <c r="C20" s="202">
        <v>100</v>
      </c>
      <c r="D20" s="324"/>
      <c r="E20" s="135"/>
      <c r="F20" s="135"/>
      <c r="G20" s="136">
        <f>SUM(G7:G19)</f>
        <v>268.67827466026745</v>
      </c>
    </row>
    <row r="21" spans="1:10" s="146" customFormat="1" ht="18.75">
      <c r="A21" s="150"/>
      <c r="C21" s="151"/>
    </row>
    <row r="22" spans="1:10" s="60" customFormat="1" ht="18.75">
      <c r="B22" s="60" t="s">
        <v>262</v>
      </c>
      <c r="C22" s="61"/>
    </row>
    <row r="23" spans="1:10" s="60" customFormat="1" ht="18.75">
      <c r="B23" s="60" t="s">
        <v>270</v>
      </c>
      <c r="C23" s="371" t="s">
        <v>288</v>
      </c>
      <c r="D23" s="371"/>
      <c r="E23" s="371"/>
      <c r="F23" s="371"/>
      <c r="G23" s="371"/>
      <c r="H23" s="371"/>
      <c r="I23" s="371"/>
      <c r="J23" s="371"/>
    </row>
    <row r="24" spans="1:10" s="60" customFormat="1" ht="18.75">
      <c r="C24" s="203"/>
      <c r="D24" s="203"/>
      <c r="E24" s="203"/>
      <c r="F24" s="203"/>
    </row>
    <row r="25" spans="1:10" s="60" customFormat="1" ht="18.75">
      <c r="B25" s="60" t="s">
        <v>263</v>
      </c>
      <c r="C25" s="371" t="s">
        <v>243</v>
      </c>
      <c r="D25" s="371"/>
      <c r="E25" s="371"/>
      <c r="F25" s="371"/>
      <c r="G25" s="152"/>
      <c r="H25" s="152"/>
    </row>
    <row r="26" spans="1:10" s="60" customFormat="1" ht="18.75">
      <c r="C26" s="61"/>
    </row>
    <row r="27" spans="1:10" s="60" customFormat="1" ht="18.75">
      <c r="B27" s="60" t="s">
        <v>289</v>
      </c>
      <c r="C27" s="371"/>
      <c r="D27" s="371"/>
      <c r="E27" s="371"/>
      <c r="F27" s="371"/>
      <c r="G27" s="152"/>
    </row>
    <row r="28" spans="1:10">
      <c r="C28" s="53"/>
    </row>
  </sheetData>
  <mergeCells count="8">
    <mergeCell ref="C27:F27"/>
    <mergeCell ref="C25:F25"/>
    <mergeCell ref="A20:B20"/>
    <mergeCell ref="A1:G1"/>
    <mergeCell ref="A2:G2"/>
    <mergeCell ref="A3:G3"/>
    <mergeCell ref="A4:G4"/>
    <mergeCell ref="C23:J23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 №2 а -отч</vt:lpstr>
      <vt:lpstr>При №2 б-отч</vt:lpstr>
      <vt:lpstr>При №2 а</vt:lpstr>
      <vt:lpstr>При №3 б</vt:lpstr>
      <vt:lpstr>При №3 а</vt:lpstr>
      <vt:lpstr>При №2 б</vt:lpstr>
      <vt:lpstr>'При №2 а'!Область_печати</vt:lpstr>
      <vt:lpstr>'При №2 а -отч'!Область_печати</vt:lpstr>
      <vt:lpstr>'При №2 б'!Область_печати</vt:lpstr>
      <vt:lpstr>'При №2 б-отч'!Область_печати</vt:lpstr>
      <vt:lpstr>'При №3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2022-05-30T06:02:18Z</dcterms:modified>
</cp:coreProperties>
</file>