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1"/>
  </bookViews>
  <sheets>
    <sheet name="При №2 а -отч" sheetId="6" r:id="rId1"/>
    <sheet name="При №2 б-отч" sheetId="7" r:id="rId2"/>
    <sheet name="При №2 а" sheetId="2" r:id="rId3"/>
    <sheet name="При №3 б" sheetId="5" r:id="rId4"/>
    <sheet name="При №3 а" sheetId="4" r:id="rId5"/>
    <sheet name="При №2 б" sheetId="3" r:id="rId6"/>
  </sheets>
  <definedNames>
    <definedName name="_xlnm.Print_Area" localSheetId="5">'При №2 б'!$A$1:$G$27</definedName>
    <definedName name="_xlnm.Print_Area" localSheetId="4">'При №3 а'!$A$1:$R$193</definedName>
  </definedNames>
  <calcPr calcId="125725"/>
</workbook>
</file>

<file path=xl/calcChain.xml><?xml version="1.0" encoding="utf-8"?>
<calcChain xmlns="http://schemas.openxmlformats.org/spreadsheetml/2006/main">
  <c r="L30" i="7"/>
  <c r="L31"/>
  <c r="L32"/>
  <c r="L33"/>
  <c r="L34"/>
  <c r="L35"/>
  <c r="L36"/>
  <c r="L37"/>
  <c r="L38"/>
  <c r="L39"/>
  <c r="L40"/>
  <c r="L41"/>
  <c r="L29"/>
  <c r="P48" i="4"/>
  <c r="P23"/>
  <c r="P22"/>
  <c r="P21"/>
  <c r="I8" i="2" s="1"/>
  <c r="J8" s="1"/>
  <c r="K8" s="1"/>
  <c r="P8" i="4"/>
  <c r="I7" i="2" s="1"/>
  <c r="H7"/>
  <c r="O19" i="5"/>
  <c r="I10" i="2"/>
  <c r="J10" s="1"/>
  <c r="K10" s="1"/>
  <c r="P49" i="4"/>
  <c r="P28"/>
  <c r="P25" s="1"/>
  <c r="I12" i="2" s="1"/>
  <c r="I9"/>
  <c r="J9" s="1"/>
  <c r="K9" s="1"/>
  <c r="O40" i="5"/>
  <c r="E19" i="3"/>
  <c r="E18"/>
  <c r="E17"/>
  <c r="E16"/>
  <c r="F16" s="1"/>
  <c r="G16" s="1"/>
  <c r="E14"/>
  <c r="E13"/>
  <c r="I11" i="2"/>
  <c r="O23" i="4"/>
  <c r="O22"/>
  <c r="O21"/>
  <c r="O8"/>
  <c r="N38" i="5"/>
  <c r="N19"/>
  <c r="P53" i="4"/>
  <c r="P50" s="1"/>
  <c r="I18" i="2" s="1"/>
  <c r="P44" i="4"/>
  <c r="P43"/>
  <c r="P42" s="1"/>
  <c r="I16" i="2" s="1"/>
  <c r="P38" i="4"/>
  <c r="I15" i="2" s="1"/>
  <c r="P34" i="4"/>
  <c r="I14" i="2" s="1"/>
  <c r="P31" i="4"/>
  <c r="I13" i="2" s="1"/>
  <c r="N40" i="5"/>
  <c r="O37"/>
  <c r="E15" i="3" s="1"/>
  <c r="O27" i="5"/>
  <c r="O26" s="1"/>
  <c r="E12" i="3" s="1"/>
  <c r="O17" i="5"/>
  <c r="O22" s="1"/>
  <c r="O23" s="1"/>
  <c r="O13"/>
  <c r="E9" i="3" s="1"/>
  <c r="O10" i="5"/>
  <c r="E8" i="3" s="1"/>
  <c r="O7" i="5"/>
  <c r="E7" i="3" s="1"/>
  <c r="N37" i="5"/>
  <c r="N27"/>
  <c r="N26" s="1"/>
  <c r="N17"/>
  <c r="N22" s="1"/>
  <c r="N23" s="1"/>
  <c r="N13"/>
  <c r="N10"/>
  <c r="N7"/>
  <c r="O53" i="4"/>
  <c r="O50" s="1"/>
  <c r="O49"/>
  <c r="O48"/>
  <c r="O44"/>
  <c r="O43"/>
  <c r="O42" s="1"/>
  <c r="O38"/>
  <c r="O34"/>
  <c r="O31"/>
  <c r="O28"/>
  <c r="O25" s="1"/>
  <c r="N8"/>
  <c r="N53"/>
  <c r="N49"/>
  <c r="N50"/>
  <c r="N48"/>
  <c r="N46" s="1"/>
  <c r="N44"/>
  <c r="N43"/>
  <c r="N42"/>
  <c r="N38"/>
  <c r="N34"/>
  <c r="N31"/>
  <c r="N28"/>
  <c r="N25" s="1"/>
  <c r="N23"/>
  <c r="N22"/>
  <c r="N21"/>
  <c r="M10" i="5"/>
  <c r="M19"/>
  <c r="M40"/>
  <c r="M37"/>
  <c r="M27"/>
  <c r="M26" s="1"/>
  <c r="M17"/>
  <c r="M22" s="1"/>
  <c r="M13"/>
  <c r="M7"/>
  <c r="L17"/>
  <c r="M8" i="4"/>
  <c r="L24"/>
  <c r="K40" i="5"/>
  <c r="K37"/>
  <c r="K27"/>
  <c r="K26" s="1"/>
  <c r="K23"/>
  <c r="K21"/>
  <c r="K10"/>
  <c r="K19"/>
  <c r="K17"/>
  <c r="K13"/>
  <c r="K7"/>
  <c r="L41" i="4"/>
  <c r="L38" s="1"/>
  <c r="L45"/>
  <c r="L36"/>
  <c r="L53"/>
  <c r="L50" s="1"/>
  <c r="L48"/>
  <c r="L46"/>
  <c r="L42"/>
  <c r="L34"/>
  <c r="L32"/>
  <c r="L31" s="1"/>
  <c r="L28"/>
  <c r="L25" s="1"/>
  <c r="L23"/>
  <c r="L22"/>
  <c r="L21"/>
  <c r="L8"/>
  <c r="H40" i="2"/>
  <c r="J51"/>
  <c r="K51" s="1"/>
  <c r="J50"/>
  <c r="K50" s="1"/>
  <c r="J49"/>
  <c r="K49" s="1"/>
  <c r="J48"/>
  <c r="K48" s="1"/>
  <c r="J47"/>
  <c r="K47" s="1"/>
  <c r="J46"/>
  <c r="K46" s="1"/>
  <c r="J45"/>
  <c r="K45" s="1"/>
  <c r="J44"/>
  <c r="K44" s="1"/>
  <c r="I43"/>
  <c r="J43" s="1"/>
  <c r="K43" s="1"/>
  <c r="I42"/>
  <c r="J42" s="1"/>
  <c r="K42" s="1"/>
  <c r="I41"/>
  <c r="J41" s="1"/>
  <c r="K41" s="1"/>
  <c r="J40"/>
  <c r="K40" s="1"/>
  <c r="G13" i="3"/>
  <c r="G14"/>
  <c r="G17"/>
  <c r="G18"/>
  <c r="G19"/>
  <c r="J92" i="5"/>
  <c r="I92"/>
  <c r="H92"/>
  <c r="G92"/>
  <c r="B92"/>
  <c r="J90"/>
  <c r="H90"/>
  <c r="G90"/>
  <c r="J89"/>
  <c r="I89"/>
  <c r="H89"/>
  <c r="G89"/>
  <c r="B89"/>
  <c r="J80"/>
  <c r="J79" s="1"/>
  <c r="J78" s="1"/>
  <c r="I79"/>
  <c r="I78" s="1"/>
  <c r="H79"/>
  <c r="G79"/>
  <c r="G78" s="1"/>
  <c r="H78"/>
  <c r="B78"/>
  <c r="B75"/>
  <c r="B73"/>
  <c r="J71"/>
  <c r="I71"/>
  <c r="H71"/>
  <c r="G71"/>
  <c r="B71"/>
  <c r="I69"/>
  <c r="I74" s="1"/>
  <c r="H69"/>
  <c r="H74" s="1"/>
  <c r="G69"/>
  <c r="G74" s="1"/>
  <c r="H68"/>
  <c r="B68"/>
  <c r="J66"/>
  <c r="J69" s="1"/>
  <c r="I65"/>
  <c r="H65"/>
  <c r="G65"/>
  <c r="B65"/>
  <c r="I64"/>
  <c r="H64"/>
  <c r="G64"/>
  <c r="J63"/>
  <c r="I62"/>
  <c r="H62"/>
  <c r="G62"/>
  <c r="B62"/>
  <c r="J61"/>
  <c r="J64" s="1"/>
  <c r="I59"/>
  <c r="H59"/>
  <c r="G59"/>
  <c r="B59"/>
  <c r="L152" i="4"/>
  <c r="L151"/>
  <c r="L153"/>
  <c r="L154"/>
  <c r="L183"/>
  <c r="L180" s="1"/>
  <c r="L179"/>
  <c r="L176" s="1"/>
  <c r="L175"/>
  <c r="L172" s="1"/>
  <c r="B171"/>
  <c r="L171"/>
  <c r="L168" s="1"/>
  <c r="J171"/>
  <c r="C171"/>
  <c r="C168" s="1"/>
  <c r="L167"/>
  <c r="L166"/>
  <c r="L165"/>
  <c r="L164" s="1"/>
  <c r="L161"/>
  <c r="L159"/>
  <c r="L158" s="1"/>
  <c r="L156"/>
  <c r="L155" s="1"/>
  <c r="L140"/>
  <c r="L148" s="1"/>
  <c r="L138" s="1"/>
  <c r="K183"/>
  <c r="J183"/>
  <c r="C183"/>
  <c r="B183"/>
  <c r="K180"/>
  <c r="J180"/>
  <c r="C180"/>
  <c r="B180"/>
  <c r="I179"/>
  <c r="H179"/>
  <c r="J178"/>
  <c r="K178" s="1"/>
  <c r="I178"/>
  <c r="C178"/>
  <c r="B178"/>
  <c r="K177"/>
  <c r="J177"/>
  <c r="I177"/>
  <c r="I176" s="1"/>
  <c r="C177"/>
  <c r="B177"/>
  <c r="B176" s="1"/>
  <c r="J176"/>
  <c r="H176"/>
  <c r="J175"/>
  <c r="K175" s="1"/>
  <c r="I175"/>
  <c r="C175"/>
  <c r="C172" s="1"/>
  <c r="B175"/>
  <c r="I173"/>
  <c r="H173"/>
  <c r="H172" s="1"/>
  <c r="I172"/>
  <c r="B172"/>
  <c r="K171"/>
  <c r="I171"/>
  <c r="H171"/>
  <c r="H168" s="1"/>
  <c r="B168"/>
  <c r="K169"/>
  <c r="K173" s="1"/>
  <c r="K172" s="1"/>
  <c r="I168"/>
  <c r="K167"/>
  <c r="K179" s="1"/>
  <c r="I167"/>
  <c r="I164" s="1"/>
  <c r="J166"/>
  <c r="K166" s="1"/>
  <c r="K164" s="1"/>
  <c r="C166"/>
  <c r="B166"/>
  <c r="K165"/>
  <c r="J165"/>
  <c r="C165"/>
  <c r="B165"/>
  <c r="J164"/>
  <c r="H164"/>
  <c r="C164"/>
  <c r="B164"/>
  <c r="J163"/>
  <c r="K163" s="1"/>
  <c r="K161" s="1"/>
  <c r="C163"/>
  <c r="B163"/>
  <c r="K162"/>
  <c r="J162"/>
  <c r="I162"/>
  <c r="H162"/>
  <c r="C162"/>
  <c r="B162"/>
  <c r="J161"/>
  <c r="I161"/>
  <c r="H161"/>
  <c r="C161"/>
  <c r="B161"/>
  <c r="J160"/>
  <c r="K160" s="1"/>
  <c r="K158" s="1"/>
  <c r="C160"/>
  <c r="B160"/>
  <c r="K159"/>
  <c r="J159"/>
  <c r="I159"/>
  <c r="H159"/>
  <c r="C159"/>
  <c r="B159"/>
  <c r="J158"/>
  <c r="I158"/>
  <c r="H158"/>
  <c r="C158"/>
  <c r="B158"/>
  <c r="J156"/>
  <c r="K156" s="1"/>
  <c r="K155" s="1"/>
  <c r="C156"/>
  <c r="B156"/>
  <c r="J155"/>
  <c r="I155"/>
  <c r="H155"/>
  <c r="C155"/>
  <c r="B155"/>
  <c r="K154"/>
  <c r="J154"/>
  <c r="C154"/>
  <c r="B154"/>
  <c r="K153"/>
  <c r="J153"/>
  <c r="I153"/>
  <c r="H153"/>
  <c r="C153"/>
  <c r="B153"/>
  <c r="J152"/>
  <c r="K152" s="1"/>
  <c r="I152"/>
  <c r="H152"/>
  <c r="C152"/>
  <c r="B152"/>
  <c r="J151"/>
  <c r="K151" s="1"/>
  <c r="I151"/>
  <c r="H151"/>
  <c r="C151"/>
  <c r="B151"/>
  <c r="J140"/>
  <c r="J148" s="1"/>
  <c r="I140"/>
  <c r="I148" s="1"/>
  <c r="I138" s="1"/>
  <c r="H140"/>
  <c r="H148" s="1"/>
  <c r="H138" s="1"/>
  <c r="C140"/>
  <c r="C148" s="1"/>
  <c r="C138" s="1"/>
  <c r="B140"/>
  <c r="B148" s="1"/>
  <c r="B138" s="1"/>
  <c r="I40" i="5"/>
  <c r="H40"/>
  <c r="G40"/>
  <c r="J40"/>
  <c r="J38"/>
  <c r="J37" s="1"/>
  <c r="J28"/>
  <c r="J27" s="1"/>
  <c r="J26" s="1"/>
  <c r="J19"/>
  <c r="I17"/>
  <c r="I22" s="1"/>
  <c r="J13"/>
  <c r="J14"/>
  <c r="J17" s="1"/>
  <c r="J11"/>
  <c r="I12"/>
  <c r="G38"/>
  <c r="G37" s="1"/>
  <c r="H38"/>
  <c r="H37" s="1"/>
  <c r="H27"/>
  <c r="H26" s="1"/>
  <c r="G27"/>
  <c r="G26" s="1"/>
  <c r="I27"/>
  <c r="I26" s="1"/>
  <c r="G19"/>
  <c r="H19"/>
  <c r="H17"/>
  <c r="G17"/>
  <c r="G22" s="1"/>
  <c r="G13"/>
  <c r="H13"/>
  <c r="H12"/>
  <c r="H10" s="1"/>
  <c r="H7"/>
  <c r="G12"/>
  <c r="G10" s="1"/>
  <c r="G7"/>
  <c r="I37"/>
  <c r="I19"/>
  <c r="I16"/>
  <c r="I13"/>
  <c r="I10"/>
  <c r="I7"/>
  <c r="J9" i="6"/>
  <c r="I9"/>
  <c r="H9"/>
  <c r="B41" i="4"/>
  <c r="B38"/>
  <c r="B10"/>
  <c r="B18" s="1"/>
  <c r="B8" s="1"/>
  <c r="C53"/>
  <c r="C50"/>
  <c r="C48"/>
  <c r="C47"/>
  <c r="C46" s="1"/>
  <c r="C45"/>
  <c r="C42" s="1"/>
  <c r="C41"/>
  <c r="C38" s="1"/>
  <c r="C36"/>
  <c r="C35"/>
  <c r="C34"/>
  <c r="C33"/>
  <c r="C32"/>
  <c r="C31" s="1"/>
  <c r="C30"/>
  <c r="C29"/>
  <c r="C28"/>
  <c r="C26"/>
  <c r="C25"/>
  <c r="C24"/>
  <c r="C23"/>
  <c r="C22"/>
  <c r="C21"/>
  <c r="C10"/>
  <c r="C18" s="1"/>
  <c r="C8" s="1"/>
  <c r="K49"/>
  <c r="K43"/>
  <c r="K39"/>
  <c r="K37"/>
  <c r="K29"/>
  <c r="K53"/>
  <c r="K50"/>
  <c r="I49"/>
  <c r="H49"/>
  <c r="I37"/>
  <c r="H41"/>
  <c r="H32"/>
  <c r="K23"/>
  <c r="H23"/>
  <c r="J22"/>
  <c r="K22" s="1"/>
  <c r="H22"/>
  <c r="H21"/>
  <c r="H10"/>
  <c r="H18" s="1"/>
  <c r="H8" s="1"/>
  <c r="H43"/>
  <c r="H42" s="1"/>
  <c r="H38"/>
  <c r="H34"/>
  <c r="H31"/>
  <c r="H29"/>
  <c r="H28" s="1"/>
  <c r="H25" s="1"/>
  <c r="I48"/>
  <c r="I47"/>
  <c r="I45"/>
  <c r="I43"/>
  <c r="I42" s="1"/>
  <c r="I41"/>
  <c r="I38" s="1"/>
  <c r="I31"/>
  <c r="I32"/>
  <c r="I29"/>
  <c r="I28" s="1"/>
  <c r="I25" s="1"/>
  <c r="I23"/>
  <c r="I22"/>
  <c r="I21"/>
  <c r="I10"/>
  <c r="I18" s="1"/>
  <c r="I8" s="1"/>
  <c r="B53"/>
  <c r="B50" s="1"/>
  <c r="B48"/>
  <c r="B47"/>
  <c r="B45"/>
  <c r="B42" s="1"/>
  <c r="B36"/>
  <c r="B35"/>
  <c r="B34" s="1"/>
  <c r="B33"/>
  <c r="B32"/>
  <c r="B31" s="1"/>
  <c r="B30"/>
  <c r="B29"/>
  <c r="B28" s="1"/>
  <c r="B26"/>
  <c r="B24"/>
  <c r="B23"/>
  <c r="B22"/>
  <c r="B21"/>
  <c r="C119"/>
  <c r="C116" s="1"/>
  <c r="J53"/>
  <c r="J50" s="1"/>
  <c r="J48"/>
  <c r="K48" s="1"/>
  <c r="J45"/>
  <c r="J42" s="1"/>
  <c r="J41"/>
  <c r="J38" s="1"/>
  <c r="J33"/>
  <c r="K33" s="1"/>
  <c r="J36"/>
  <c r="K36" s="1"/>
  <c r="J30"/>
  <c r="K30" s="1"/>
  <c r="J29"/>
  <c r="K47"/>
  <c r="K46" s="1"/>
  <c r="K35"/>
  <c r="K32"/>
  <c r="K31" s="1"/>
  <c r="K24"/>
  <c r="J47"/>
  <c r="J46" s="1"/>
  <c r="J35"/>
  <c r="J34"/>
  <c r="J32"/>
  <c r="J26"/>
  <c r="K26" s="1"/>
  <c r="J24"/>
  <c r="J23"/>
  <c r="J21"/>
  <c r="K21" s="1"/>
  <c r="J10"/>
  <c r="J18" s="1"/>
  <c r="J8" s="1"/>
  <c r="C114"/>
  <c r="C113"/>
  <c r="C112"/>
  <c r="C111"/>
  <c r="C108"/>
  <c r="C107"/>
  <c r="C104"/>
  <c r="C102"/>
  <c r="C101"/>
  <c r="C100"/>
  <c r="C99"/>
  <c r="C98"/>
  <c r="C97"/>
  <c r="C96"/>
  <c r="C95"/>
  <c r="C94"/>
  <c r="C92"/>
  <c r="C91"/>
  <c r="C90"/>
  <c r="C89"/>
  <c r="B89"/>
  <c r="C88"/>
  <c r="B88"/>
  <c r="C87"/>
  <c r="B87"/>
  <c r="C84"/>
  <c r="B84"/>
  <c r="C76"/>
  <c r="B76"/>
  <c r="C74"/>
  <c r="B74"/>
  <c r="B37" i="5"/>
  <c r="B40"/>
  <c r="B26"/>
  <c r="B23"/>
  <c r="B21" s="1"/>
  <c r="B19"/>
  <c r="B16" s="1"/>
  <c r="B13"/>
  <c r="B10"/>
  <c r="B7"/>
  <c r="M23" l="1"/>
  <c r="M21" s="1"/>
  <c r="K28" i="4"/>
  <c r="K25"/>
  <c r="K42"/>
  <c r="J31"/>
  <c r="J28"/>
  <c r="B46"/>
  <c r="K18"/>
  <c r="K45"/>
  <c r="H16" i="5"/>
  <c r="G16"/>
  <c r="K140" i="4"/>
  <c r="K168"/>
  <c r="J172"/>
  <c r="K16" i="5"/>
  <c r="M16"/>
  <c r="K10" i="4"/>
  <c r="K41"/>
  <c r="K38" s="1"/>
  <c r="C176"/>
  <c r="P46"/>
  <c r="I17" i="2" s="1"/>
  <c r="J16"/>
  <c r="K16" s="1"/>
  <c r="F8" i="3"/>
  <c r="G8" s="1"/>
  <c r="F15"/>
  <c r="G15" s="1"/>
  <c r="F12"/>
  <c r="G12" s="1"/>
  <c r="O16" i="5"/>
  <c r="E10" i="3" s="1"/>
  <c r="J18" i="2"/>
  <c r="K18" s="1"/>
  <c r="F9" i="3"/>
  <c r="G9" s="1"/>
  <c r="J15" i="2"/>
  <c r="K15" s="1"/>
  <c r="J14"/>
  <c r="K14" s="1"/>
  <c r="J12"/>
  <c r="K12" s="1"/>
  <c r="J7"/>
  <c r="K7" s="1"/>
  <c r="F7" i="3"/>
  <c r="G7" s="1"/>
  <c r="O21" i="5"/>
  <c r="E11" i="3" s="1"/>
  <c r="J13" i="2"/>
  <c r="K13" s="1"/>
  <c r="N21" i="5"/>
  <c r="N16"/>
  <c r="O46" i="4"/>
  <c r="J22" i="5"/>
  <c r="J16"/>
  <c r="I23"/>
  <c r="I21" s="1"/>
  <c r="G23"/>
  <c r="G21" s="1"/>
  <c r="H22"/>
  <c r="J59"/>
  <c r="J62"/>
  <c r="G68"/>
  <c r="I68"/>
  <c r="K52" i="2"/>
  <c r="G75" i="5"/>
  <c r="G73" s="1"/>
  <c r="I75"/>
  <c r="I73" s="1"/>
  <c r="J74"/>
  <c r="J68"/>
  <c r="H75"/>
  <c r="H73"/>
  <c r="J65"/>
  <c r="J138" i="4"/>
  <c r="K148"/>
  <c r="K138" s="1"/>
  <c r="K176"/>
  <c r="J168"/>
  <c r="J9" i="5"/>
  <c r="K34" i="4"/>
  <c r="K8"/>
  <c r="B25"/>
  <c r="J25"/>
  <c r="I46"/>
  <c r="I34"/>
  <c r="H46"/>
  <c r="J17" i="2" l="1"/>
  <c r="K17" s="1"/>
  <c r="F11" i="3"/>
  <c r="G11" s="1"/>
  <c r="F10"/>
  <c r="G10" s="1"/>
  <c r="K19" i="2"/>
  <c r="H23" i="5"/>
  <c r="H21" s="1"/>
  <c r="J23"/>
  <c r="J21" s="1"/>
  <c r="J75"/>
  <c r="J73"/>
  <c r="J12"/>
  <c r="J10" s="1"/>
  <c r="J7"/>
  <c r="G20" i="3" l="1"/>
</calcChain>
</file>

<file path=xl/sharedStrings.xml><?xml version="1.0" encoding="utf-8"?>
<sst xmlns="http://schemas.openxmlformats.org/spreadsheetml/2006/main" count="924" uniqueCount="336">
  <si>
    <t xml:space="preserve">                </t>
  </si>
  <si>
    <t xml:space="preserve">          </t>
  </si>
  <si>
    <t xml:space="preserve">       </t>
  </si>
  <si>
    <t>ПРИЛОЖЕНИЕ N 2а</t>
  </si>
  <si>
    <t>к Положению</t>
  </si>
  <si>
    <t>ПЕРЕЧЕНЬ</t>
  </si>
  <si>
    <t>N</t>
  </si>
  <si>
    <t>Показатель</t>
  </si>
  <si>
    <t>КПЭ</t>
  </si>
  <si>
    <t>А</t>
  </si>
  <si>
    <t>B</t>
  </si>
  <si>
    <t>C</t>
  </si>
  <si>
    <t>D</t>
  </si>
  <si>
    <t>E</t>
  </si>
  <si>
    <t>F = E x B / 100</t>
  </si>
  <si>
    <t>1.</t>
  </si>
  <si>
    <r>
      <t>1. Прибыль до вычета процентов, налогов и амортизации. (</t>
    </r>
    <r>
      <rPr>
        <b/>
        <sz val="10"/>
        <color theme="1"/>
        <rFont val="Times New Roman"/>
        <family val="1"/>
        <charset val="204"/>
      </rPr>
      <t xml:space="preserve">EBITDA - </t>
    </r>
    <r>
      <rPr>
        <sz val="10"/>
        <color theme="1"/>
        <rFont val="Times New Roman"/>
        <family val="1"/>
        <charset val="204"/>
      </rPr>
      <t xml:space="preserve">Earnings Before Interest, Taxes, Depreciation &amp; Amortization)* </t>
    </r>
  </si>
  <si>
    <t>2.</t>
  </si>
  <si>
    <r>
      <t>2. Соотношение затрат и доходов (</t>
    </r>
    <r>
      <rPr>
        <b/>
        <sz val="10"/>
        <color theme="1"/>
        <rFont val="Times New Roman"/>
        <family val="1"/>
        <charset val="204"/>
      </rPr>
      <t xml:space="preserve">CIR - </t>
    </r>
    <r>
      <rPr>
        <sz val="10"/>
        <color theme="1"/>
        <rFont val="Times New Roman"/>
        <family val="1"/>
        <charset val="204"/>
      </rPr>
      <t>Cost Income Ratio)*</t>
    </r>
  </si>
  <si>
    <t>3.</t>
  </si>
  <si>
    <r>
      <t>3. Рентабельность привлеченного капитала (</t>
    </r>
    <r>
      <rPr>
        <b/>
        <sz val="10"/>
        <color theme="1"/>
        <rFont val="Times New Roman"/>
        <family val="1"/>
        <charset val="204"/>
      </rPr>
      <t xml:space="preserve">ROCE - </t>
    </r>
    <r>
      <rPr>
        <sz val="10"/>
        <color theme="1"/>
        <rFont val="Times New Roman"/>
        <family val="1"/>
        <charset val="204"/>
      </rPr>
      <t xml:space="preserve">Return on Capital Employed)* </t>
    </r>
  </si>
  <si>
    <t>4.</t>
  </si>
  <si>
    <r>
      <t>4. Рентабельность акционерного капитала (</t>
    </r>
    <r>
      <rPr>
        <b/>
        <sz val="10"/>
        <color theme="1"/>
        <rFont val="Times New Roman"/>
        <family val="1"/>
        <charset val="204"/>
      </rPr>
      <t xml:space="preserve">ROE - </t>
    </r>
    <r>
      <rPr>
        <sz val="10"/>
        <color theme="1"/>
        <rFont val="Times New Roman"/>
        <family val="1"/>
        <charset val="204"/>
      </rPr>
      <t>Return On Equity)*</t>
    </r>
  </si>
  <si>
    <t>5.</t>
  </si>
  <si>
    <r>
      <t>5. Рентабельность инвестиций акционеров (</t>
    </r>
    <r>
      <rPr>
        <b/>
        <sz val="10"/>
        <color theme="1"/>
        <rFont val="Times New Roman"/>
        <family val="1"/>
        <charset val="204"/>
      </rPr>
      <t xml:space="preserve">TSR - </t>
    </r>
    <r>
      <rPr>
        <sz val="10"/>
        <color theme="1"/>
        <rFont val="Times New Roman"/>
        <family val="1"/>
        <charset val="204"/>
      </rPr>
      <t>Total Shareholders Return)*</t>
    </r>
  </si>
  <si>
    <t>6.</t>
  </si>
  <si>
    <t>6. Рентабельность активов</t>
  </si>
  <si>
    <t>7.</t>
  </si>
  <si>
    <t>7. Коэффициент абсолютной ликвидности</t>
  </si>
  <si>
    <t>8.</t>
  </si>
  <si>
    <t>8. Коэффициент финансовой независимости</t>
  </si>
  <si>
    <t>9.</t>
  </si>
  <si>
    <t>9. Оборачиваемость кредиторской задолженности в днях</t>
  </si>
  <si>
    <t>10.</t>
  </si>
  <si>
    <t>10. Оборачиваемость дебиторской задолженности в днях</t>
  </si>
  <si>
    <t>11.</t>
  </si>
  <si>
    <t>11. Коэффициент покрытия (платежеспособности)</t>
  </si>
  <si>
    <t>12.</t>
  </si>
  <si>
    <t>13. Дивидендный выход</t>
  </si>
  <si>
    <t>13.</t>
  </si>
  <si>
    <t>13. Показатель снижения дебиторской задолженности (в % к установленному заданию)</t>
  </si>
  <si>
    <t>Всего:</t>
  </si>
  <si>
    <t>ПРИЛОЖЕНИЕ N 2б</t>
  </si>
  <si>
    <t>1. Коэффициент износа основных средств</t>
  </si>
  <si>
    <t>2. Коэффициент обновления основных средств</t>
  </si>
  <si>
    <t>3. Производительность труда</t>
  </si>
  <si>
    <t>4. Фондоотдача</t>
  </si>
  <si>
    <t>5. Коэффициент использования производственных мощностей</t>
  </si>
  <si>
    <t>6. Энергоэффективность (доля затрат на энергию в структуре себестоимости продукции)</t>
  </si>
  <si>
    <t>7. Доля инновационной продукции в общем объеме реализованной продукции</t>
  </si>
  <si>
    <t>8. Доля затрат на инновационную деятельность в общих затратах предприятия</t>
  </si>
  <si>
    <t>9. Затраты на обучение персонала, в расчете на одного работника</t>
  </si>
  <si>
    <t>10. Коэффициент текучести кадров</t>
  </si>
  <si>
    <t>11. Индикатор выполнения Инвестиционной программы в денежном выражении</t>
  </si>
  <si>
    <t>12. Индикатор выполнения параметров ввода мощностей (в % к заявленному физическому объему)</t>
  </si>
  <si>
    <t>13. Показатель выполнения параметров экспорта (в % к денежному объему)</t>
  </si>
  <si>
    <t>Всего (ИКЭ):</t>
  </si>
  <si>
    <t>ПРИЛОЖЕНИЕ N 3а</t>
  </si>
  <si>
    <t>ПРАВИЛА</t>
  </si>
  <si>
    <t>Формула расчета</t>
  </si>
  <si>
    <t>Характеристика</t>
  </si>
  <si>
    <t>Обязательные для расчета показатели</t>
  </si>
  <si>
    <t xml:space="preserve">        </t>
  </si>
  <si>
    <t>Рассчитывается в следующей последовательности:</t>
  </si>
  <si>
    <t>Чистая прибыль</t>
  </si>
  <si>
    <t>+ Расходы по налогу на прибыль;</t>
  </si>
  <si>
    <t>- Возмещенный налог на прибыль;</t>
  </si>
  <si>
    <t>(+ Чрезвычайные расходы);</t>
  </si>
  <si>
    <t>(- Чрезвычайные доходы);</t>
  </si>
  <si>
    <t>+ Проценты уплаченные;</t>
  </si>
  <si>
    <t>- Проценты полученные;</t>
  </si>
  <si>
    <t>= EBIT;</t>
  </si>
  <si>
    <t>+ Амортизационные отчисления по материальным и нематериальным активам;</t>
  </si>
  <si>
    <t>- Переоценка активов;</t>
  </si>
  <si>
    <t>Показатель долговой нагрузки на организацию, характеризующий ее способность погашать свою задолженность перед кредиторами своим чистым денежным потоком.</t>
  </si>
  <si>
    <r>
      <t>2. Соотношение затрат и доходов (</t>
    </r>
    <r>
      <rPr>
        <b/>
        <sz val="10"/>
        <color theme="1"/>
        <rFont val="Times New Roman"/>
        <family val="1"/>
        <charset val="204"/>
      </rPr>
      <t>CIR</t>
    </r>
    <r>
      <rPr>
        <sz val="10"/>
        <color theme="1"/>
        <rFont val="Times New Roman"/>
        <family val="1"/>
        <charset val="204"/>
      </rPr>
      <t xml:space="preserve"> - Cost Income Ratio)*</t>
    </r>
  </si>
  <si>
    <t>(операционные расходы) / выручка.</t>
  </si>
  <si>
    <t>Выражает соотношение операционных расходов (включающих себестоимость продаж, коммерческие и управленческие расходы) по отношению к выручке.</t>
  </si>
  <si>
    <r>
      <t>3. Рентабельность привлеченного капитала (</t>
    </r>
    <r>
      <rPr>
        <b/>
        <sz val="10"/>
        <color theme="1"/>
        <rFont val="Times New Roman"/>
        <family val="1"/>
        <charset val="204"/>
      </rPr>
      <t>ROCE</t>
    </r>
    <r>
      <rPr>
        <sz val="10"/>
        <color theme="1"/>
        <rFont val="Times New Roman"/>
        <family val="1"/>
        <charset val="204"/>
      </rPr>
      <t xml:space="preserve"> - Return on Capital Employed)*</t>
    </r>
  </si>
  <si>
    <t>(чистая прибыль) / (привлеченный капитал на начало и конец периода).</t>
  </si>
  <si>
    <t>Показатель отдачи от вовлеченного в коммерческую деятельность собственного капитала организации и долгосрочно привлеченных средств (долгосрочных кредитов, займов).</t>
  </si>
  <si>
    <r>
      <t>4. Рентабельность акционерного капитала (</t>
    </r>
    <r>
      <rPr>
        <b/>
        <sz val="10"/>
        <color theme="1"/>
        <rFont val="Times New Roman"/>
        <family val="1"/>
        <charset val="204"/>
      </rPr>
      <t>ROE</t>
    </r>
    <r>
      <rPr>
        <sz val="10"/>
        <color theme="1"/>
        <rFont val="Times New Roman"/>
        <family val="1"/>
        <charset val="204"/>
      </rPr>
      <t xml:space="preserve"> - Return On Equity)*</t>
    </r>
  </si>
  <si>
    <t>(чистая прибыль) / (среднегодовой акционерный капитал).</t>
  </si>
  <si>
    <t>Характеризует доходность бизнеса для его владельцев, рассчитанную после вычета процентов по кредиту (т. е. чистая прибыль, в отличие от таких показателей, как ROA или ROIC, не корректируется на сумму процентов по кредиту).</t>
  </si>
  <si>
    <r>
      <t>5. Рентабельность инвестиций акционеров (</t>
    </r>
    <r>
      <rPr>
        <b/>
        <sz val="10"/>
        <color theme="1"/>
        <rFont val="Times New Roman"/>
        <family val="1"/>
        <charset val="204"/>
      </rPr>
      <t>TSR</t>
    </r>
    <r>
      <rPr>
        <sz val="10"/>
        <color theme="1"/>
        <rFont val="Times New Roman"/>
        <family val="1"/>
        <charset val="204"/>
      </rPr>
      <t xml:space="preserve"> - Total Shareholders Return)*</t>
    </r>
  </si>
  <si>
    <t>(цена акции в конце периода - цена акции в начале периода + выплаченные в течение периода дивиденды)/(цена акции в начале периода).</t>
  </si>
  <si>
    <t>Совокупная акционерная доходность. Данный показатель представляет собой норму доходности акционеров в результате изменения биржевых котировок акций и начисления дивидендов.</t>
  </si>
  <si>
    <r>
      <t xml:space="preserve">Крр = Пудн / Аср, </t>
    </r>
    <r>
      <rPr>
        <sz val="10"/>
        <color theme="1"/>
        <rFont val="Times New Roman"/>
        <family val="1"/>
        <charset val="204"/>
      </rPr>
      <t>где:</t>
    </r>
  </si>
  <si>
    <r>
      <t>Пудн</t>
    </r>
    <r>
      <rPr>
        <sz val="10"/>
        <color theme="1"/>
        <rFont val="Times New Roman"/>
        <family val="1"/>
        <charset val="204"/>
      </rPr>
      <t xml:space="preserve"> - прибыль до уплаты налога на прибыль - (графа 5, строка 240, или убыток - со знаком минус графа 6, строка 240 формы N 2 "Отчет о финансовых результатах");</t>
    </r>
  </si>
  <si>
    <r>
      <t>Аср</t>
    </r>
    <r>
      <rPr>
        <sz val="10"/>
        <color theme="1"/>
        <rFont val="Times New Roman"/>
        <family val="1"/>
        <charset val="204"/>
      </rPr>
      <t xml:space="preserve"> - среднеарифметическая величина стоимости активов, рассчитываемая по формуле:</t>
    </r>
  </si>
  <si>
    <r>
      <t>Аср = (А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+ 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) / 2, </t>
    </r>
    <r>
      <rPr>
        <sz val="10"/>
        <color theme="1"/>
        <rFont val="Times New Roman"/>
        <family val="1"/>
        <charset val="204"/>
      </rPr>
      <t>где:</t>
    </r>
  </si>
  <si>
    <r>
      <t>А</t>
    </r>
    <r>
      <rPr>
        <b/>
        <i/>
        <sz val="8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- стоимость активов на начало периода (графа 3 строки 400 формы N 1 "Бухгалтерский баланс");</t>
    </r>
  </si>
  <si>
    <r>
      <t>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стоимость активов на конец периода (графа 4 строки 400 формы N 1 "Бухгалтерский баланс").</t>
    </r>
  </si>
  <si>
    <t>Показывает уровень прибыльности (убыточности) финансово-хозяйственной деятельности организации.</t>
  </si>
  <si>
    <r>
      <t>Кал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Дс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То, </t>
    </r>
    <r>
      <rPr>
        <sz val="10"/>
        <color theme="1"/>
        <rFont val="Times New Roman"/>
        <family val="1"/>
        <charset val="204"/>
      </rPr>
      <t>где:</t>
    </r>
  </si>
  <si>
    <r>
      <t>ДС</t>
    </r>
    <r>
      <rPr>
        <sz val="10"/>
        <color theme="1"/>
        <rFont val="Times New Roman"/>
        <family val="1"/>
        <charset val="204"/>
      </rPr>
      <t xml:space="preserve"> - денежные средства - сумма строк раздела актива баланса, строка 320 (строки 330 + 340 + 350 + 360);</t>
    </r>
  </si>
  <si>
    <r>
      <t>ТО</t>
    </r>
    <r>
      <rPr>
        <sz val="10"/>
        <color theme="1"/>
        <rFont val="Times New Roman"/>
        <family val="1"/>
        <charset val="204"/>
      </rPr>
      <t xml:space="preserve"> - текущие обязательства, стр. 600 II раздела пассива баланса.</t>
    </r>
  </si>
  <si>
    <t>Этот показатель является наиболее жестким критерием ликвидности организации. Он показывает, какая часть краткосрочных заемных обязательств может быть при необходимости погашена немедленно.</t>
  </si>
  <si>
    <r>
      <t>Ксс = П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/ (П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- Д</t>
    </r>
    <r>
      <rPr>
        <b/>
        <i/>
        <sz val="8"/>
        <color theme="1"/>
        <rFont val="Times New Roman"/>
        <family val="1"/>
        <charset val="204"/>
      </rPr>
      <t>О</t>
    </r>
    <r>
      <rPr>
        <b/>
        <i/>
        <sz val="10"/>
        <color theme="1"/>
        <rFont val="Times New Roman"/>
        <family val="1"/>
        <charset val="204"/>
      </rPr>
      <t xml:space="preserve">), </t>
    </r>
    <r>
      <rPr>
        <sz val="10"/>
        <color theme="1"/>
        <rFont val="Times New Roman"/>
        <family val="1"/>
        <charset val="204"/>
      </rPr>
      <t>где:</t>
    </r>
  </si>
  <si>
    <r>
      <t>П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источники собственных средств (уставной капитал, резервный капитал, добавленный капитал, нераспределенная прибыль и др.), итог раздела I пассива баланса, строка 480;</t>
    </r>
  </si>
  <si>
    <r>
      <t>П</t>
    </r>
    <r>
      <rPr>
        <b/>
        <i/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- обязательства, раздел II пассива баланса, строка 770;</t>
    </r>
  </si>
  <si>
    <r>
      <t>Д</t>
    </r>
    <r>
      <rPr>
        <b/>
        <i/>
        <sz val="8"/>
        <color theme="1"/>
        <rFont val="Times New Roman"/>
        <family val="1"/>
        <charset val="204"/>
      </rPr>
      <t>О</t>
    </r>
    <r>
      <rPr>
        <sz val="10"/>
        <color theme="1"/>
        <rFont val="Times New Roman"/>
        <family val="1"/>
        <charset val="204"/>
      </rPr>
      <t xml:space="preserve"> - долгосрочные обязательства (строка 490 бухгалтерского баланса).</t>
    </r>
  </si>
  <si>
    <t>Определяет степень обеспеченности возврата краткосрочных заемных средств собственными источниками.</t>
  </si>
  <si>
    <r>
      <t xml:space="preserve">Окрдн = Дп / (Вр / Кзср),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</si>
  <si>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стр. 010, графа 5 "Чистая выручка от реализации продукции (товаров, работ, услуг" форма N 2 "Отчет о финансовых результатах".</t>
    </r>
  </si>
  <si>
    <r>
      <t>Дп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количество календарных дней в периоде.</t>
    </r>
  </si>
  <si>
    <r>
      <t>Кзср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среднее арифметическое значение кредиторской задолженности (половина от суммы значений на начало и конец периода по строке 601 "текущая кредиторская задолженность" раздела II пассива баланса, формы N 1 "Бухгалтерский баланс").</t>
    </r>
  </si>
  <si>
    <t>Показатель скорости погашения организацией своей задолженности перед поставщиками и подрядчиками. Данный коэффициент показывает, за сколько дней организация погашает среднюю величину своей кредиторской задолженности.</t>
  </si>
  <si>
    <r>
      <t xml:space="preserve">Одздн = Дп / (Вр / Дзср),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</si>
  <si>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стр. 010, графа 5 "Чистая выручка от реализации продукции (товаров, работ, услуг" форма N 2 "Отчет о финансовых результатах";</t>
    </r>
  </si>
  <si>
    <r>
      <t>Дп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количество календарных дней в периоде;</t>
    </r>
  </si>
  <si>
    <r>
      <t>Дзср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среднее арифметическое значение дебиторской задолженности (половина от суммы значений на начало и конец периода по строке 210 "Дебиторы, всего" раздела II актива баланса, формы N 1 "Бухгалтерский баланс").</t>
    </r>
  </si>
  <si>
    <t>Измеряет скорость погашения дебиторской задолженности организации, насколько быстро организация получает оплату за проданные товары (работы, услуги) от своих покупателей.</t>
  </si>
  <si>
    <r>
      <t>Кпл = 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/ (П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- Д</t>
    </r>
    <r>
      <rPr>
        <b/>
        <i/>
        <sz val="8"/>
        <color theme="1"/>
        <rFont val="Times New Roman"/>
        <family val="1"/>
        <charset val="204"/>
      </rPr>
      <t>О</t>
    </r>
    <r>
      <rPr>
        <b/>
        <i/>
        <sz val="10"/>
        <color theme="1"/>
        <rFont val="Times New Roman"/>
        <family val="1"/>
        <charset val="204"/>
      </rPr>
      <t xml:space="preserve">), </t>
    </r>
    <r>
      <rPr>
        <sz val="10"/>
        <color theme="1"/>
        <rFont val="Times New Roman"/>
        <family val="1"/>
        <charset val="204"/>
      </rPr>
      <t>где:</t>
    </r>
  </si>
  <si>
    <r>
      <t>А</t>
    </r>
    <r>
      <rPr>
        <b/>
        <i/>
        <sz val="8"/>
        <color theme="1"/>
        <rFont val="Times New Roman"/>
        <family val="1"/>
        <charset val="204"/>
      </rPr>
      <t>2</t>
    </r>
    <r>
      <rPr>
        <sz val="8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- текущие активы (производственные запасы, готовая продукция, денежные средства, дебиторская задолженность и др.), раздел II актива баланса, строка 390;</t>
    </r>
  </si>
  <si>
    <t>Показывает платежные возможности краткосрочных обязательств организации, оцениваемые при условии не только своевременных расчетов с дебиторами и благоприятной реализации готовой продукции, но и прочих элементов текущих (оборотных) активов.</t>
  </si>
  <si>
    <t>12. Дивидендный выход</t>
  </si>
  <si>
    <r>
      <t xml:space="preserve">Дв = Дао / ЕPS, </t>
    </r>
    <r>
      <rPr>
        <sz val="10"/>
        <color theme="1"/>
        <rFont val="Times New Roman"/>
        <family val="1"/>
        <charset val="204"/>
      </rPr>
      <t>где:</t>
    </r>
  </si>
  <si>
    <r>
      <t>Дао</t>
    </r>
    <r>
      <rPr>
        <sz val="10"/>
        <color theme="1"/>
        <rFont val="Times New Roman"/>
        <family val="1"/>
        <charset val="204"/>
      </rPr>
      <t xml:space="preserve"> - начисленный дивиденд на одну простую акцию (на основании документов бухгалтерского учета);</t>
    </r>
  </si>
  <si>
    <r>
      <t>ЕPS</t>
    </r>
    <r>
      <rPr>
        <sz val="10"/>
        <color theme="1"/>
        <rFont val="Times New Roman"/>
        <family val="1"/>
        <charset val="204"/>
      </rPr>
      <t xml:space="preserve"> - доход на акцию, определяется по формуле:</t>
    </r>
  </si>
  <si>
    <r>
      <t xml:space="preserve">EPS = (Чп - ДИВприв) / Као, </t>
    </r>
    <r>
      <rPr>
        <sz val="10"/>
        <color theme="1"/>
        <rFont val="Times New Roman"/>
        <family val="1"/>
        <charset val="204"/>
      </rPr>
      <t>где:</t>
    </r>
  </si>
  <si>
    <r>
      <t>ДИВприв</t>
    </r>
    <r>
      <rPr>
        <sz val="10"/>
        <color theme="1"/>
        <rFont val="Times New Roman"/>
        <family val="1"/>
        <charset val="204"/>
      </rPr>
      <t xml:space="preserve"> - начисленные дивиденды по привилегированным акциям (на основании документов бухгалтерского учета);</t>
    </r>
  </si>
  <si>
    <r>
      <t>Као</t>
    </r>
    <r>
      <rPr>
        <sz val="10"/>
        <color theme="1"/>
        <rFont val="Times New Roman"/>
        <family val="1"/>
        <charset val="204"/>
      </rPr>
      <t xml:space="preserve"> - общее число размещенных простых акций (строка 152 "простые", графа 9 "Итого" формы N 5 "Отчет о собственном капитале").</t>
    </r>
  </si>
  <si>
    <t>Отношение фактического показателя снижения дебиторской задолженности к прогнозному заявленному значению.</t>
  </si>
  <si>
    <t>Целевое значение определяется в соответствующей госпрограмме, либо органом управления организации.</t>
  </si>
  <si>
    <t>Показывает, как выполняется соответствующая госпрограмма или решение органа управления организации.</t>
  </si>
  <si>
    <t>ПРИЛОЖЕНИЕ N 3б</t>
  </si>
  <si>
    <r>
      <t xml:space="preserve">Кизн = И / О, </t>
    </r>
    <r>
      <rPr>
        <sz val="10"/>
        <color theme="1"/>
        <rFont val="Times New Roman"/>
        <family val="1"/>
        <charset val="204"/>
      </rPr>
      <t>где:</t>
    </r>
  </si>
  <si>
    <r>
      <t>И</t>
    </r>
    <r>
      <rPr>
        <sz val="10"/>
        <color theme="1"/>
        <rFont val="Times New Roman"/>
        <family val="1"/>
        <charset val="204"/>
      </rPr>
      <t xml:space="preserve"> - износ основных средств - строка 011 формы N 1 "Бухгалтерский баланс";</t>
    </r>
  </si>
  <si>
    <r>
      <t>О</t>
    </r>
    <r>
      <rPr>
        <sz val="10"/>
        <color theme="1"/>
        <rFont val="Times New Roman"/>
        <family val="1"/>
        <charset val="204"/>
      </rPr>
      <t xml:space="preserve"> - первоначальная стоимость основных средств - строка 010 формы N 1 "Бухгалтерский баланс".</t>
    </r>
  </si>
  <si>
    <t>Если коэффициент износа основных средств на конец рассматриваемого периода превышает значение 0,5, организация характеризуется значительной изношенностью основных средств</t>
  </si>
  <si>
    <t>Характеризует долю износа (изношенность) основных фондов за период и определяется как отношение суммы износа основных средств к их первоначальной стоимости.</t>
  </si>
  <si>
    <r>
      <t>Кн = Ан / Акос</t>
    </r>
    <r>
      <rPr>
        <b/>
        <i/>
        <sz val="10"/>
        <color theme="1"/>
        <rFont val="Times New Roman"/>
        <family val="1"/>
        <charset val="204"/>
      </rPr>
      <t xml:space="preserve">, </t>
    </r>
    <r>
      <rPr>
        <sz val="10"/>
        <color theme="1"/>
        <rFont val="Times New Roman"/>
        <family val="1"/>
        <charset val="204"/>
      </rPr>
      <t>где:</t>
    </r>
  </si>
  <si>
    <r>
      <t>Ан</t>
    </r>
    <r>
      <rPr>
        <sz val="10"/>
        <color theme="1"/>
        <rFont val="Times New Roman"/>
        <family val="1"/>
        <charset val="204"/>
      </rPr>
      <t xml:space="preserve"> - балансовая стоимость поступивших за период основных средств (строка 101, графа 2 Формы статистической отчетности 2-moliya "Отчет о наличии и движении основных средств и других нефинансовых активов");</t>
    </r>
  </si>
  <si>
    <r>
      <t>Акос</t>
    </r>
    <r>
      <rPr>
        <sz val="10"/>
        <color theme="1"/>
        <rFont val="Times New Roman"/>
        <family val="1"/>
        <charset val="204"/>
      </rPr>
      <t xml:space="preserve"> - балансовая стоимость всех основных средств на конец периода (строка 101, графа 9 Формы статистической отчетности 2-moliya "Отчет о наличии и движении основных средств и других нефинансовых активов".</t>
    </r>
  </si>
  <si>
    <t>Показывает соотношение стоимости поступивших за период основных средств и стоимости основных средств на конец периода.</t>
  </si>
  <si>
    <r>
      <t>Вч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Вр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Чср,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</si>
  <si>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сум; (строка 010, графа 5 "Чистая выручка от реализации продукции (товаров, работ, услуг" формы N 2 "Отчет о финансовых результатах");</t>
    </r>
  </si>
  <si>
    <r>
      <t>Чср</t>
    </r>
    <r>
      <rPr>
        <sz val="10"/>
        <color theme="1"/>
        <rFont val="Times New Roman"/>
        <family val="1"/>
        <charset val="204"/>
      </rPr>
      <t xml:space="preserve"> - среднесписочная численность сотрудников организации, согласно информации кадровой службы.</t>
    </r>
  </si>
  <si>
    <r>
      <t>Фо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Вр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Фср,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</si>
  <si>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(строка 010, графа 5 "Чистая выручка от реализации продукции (товаров, работ, услуг" формы N 2 "Отчет о финансовых результатах");</t>
    </r>
  </si>
  <si>
    <r>
      <t>Фср</t>
    </r>
    <r>
      <rPr>
        <sz val="10"/>
        <color theme="1"/>
        <rFont val="Times New Roman"/>
        <family val="1"/>
        <charset val="204"/>
      </rPr>
      <t xml:space="preserve"> - среднеарифметическая величина стоимости основных средств за отчетный период. Определяется по формуле средней арифметической:</t>
    </r>
  </si>
  <si>
    <r>
      <t>Фср = (Ф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+ Ф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) / 2, </t>
    </r>
    <r>
      <rPr>
        <sz val="10"/>
        <color theme="1"/>
        <rFont val="Times New Roman"/>
        <family val="1"/>
        <charset val="204"/>
      </rPr>
      <t>где:</t>
    </r>
  </si>
  <si>
    <r>
      <t>Ф</t>
    </r>
    <r>
      <rPr>
        <b/>
        <i/>
        <sz val="8"/>
        <color theme="1"/>
        <rFont val="Times New Roman"/>
        <family val="1"/>
        <charset val="204"/>
      </rPr>
      <t>1</t>
    </r>
    <r>
      <rPr>
        <i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и</t>
    </r>
    <r>
      <rPr>
        <i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Ф</t>
    </r>
    <r>
      <rPr>
        <b/>
        <i/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- стоимость основных средств на начало и конец отчетного периода, сум; стр. 012. графы 3 и 4 "Остаточная (балансовая) стоимость", форма N 1 "Бухгалтерский баланс".</t>
    </r>
  </si>
  <si>
    <t>Сделать выводы об эффективности можно, сравнивая показатель фондоотдачи в динамике за ряд лет, либо сравнивая его с таким же показателем для других, аналогичных организаций той же отрасли.</t>
  </si>
  <si>
    <t>Показывает, как соотносится объем полученной от реализации продукции (т. е. выручки) со стоимостью имеющихся у организации средств труда.</t>
  </si>
  <si>
    <r>
      <t>Ким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Qфакт.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((Qпроектн. - (Qаренд.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+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Qконсерв.)</t>
    </r>
    <r>
      <rPr>
        <i/>
        <sz val="10"/>
        <color theme="1"/>
        <rFont val="Times New Roman"/>
        <family val="1"/>
        <charset val="204"/>
      </rPr>
      <t>)</t>
    </r>
    <r>
      <rPr>
        <b/>
        <i/>
        <sz val="10"/>
        <color theme="1"/>
        <rFont val="Times New Roman"/>
        <family val="1"/>
        <charset val="204"/>
      </rPr>
      <t xml:space="preserve">, </t>
    </r>
    <r>
      <rPr>
        <sz val="10"/>
        <color theme="1"/>
        <rFont val="Times New Roman"/>
        <family val="1"/>
        <charset val="204"/>
      </rPr>
      <t>где:</t>
    </r>
  </si>
  <si>
    <r>
      <t>Qфакт.</t>
    </r>
    <r>
      <rPr>
        <sz val="10"/>
        <color theme="1"/>
        <rFont val="Times New Roman"/>
        <family val="1"/>
        <charset val="204"/>
      </rPr>
      <t xml:space="preserve"> - фактический объем выпущенной продукции (оказания услуг) за отчетный период в сопоставимом стоимостном выражении;</t>
    </r>
  </si>
  <si>
    <r>
      <t>Qарендн.</t>
    </r>
    <r>
      <rPr>
        <sz val="10"/>
        <color theme="1"/>
        <rFont val="Times New Roman"/>
        <family val="1"/>
        <charset val="204"/>
      </rPr>
      <t xml:space="preserve"> - объемы продукции (сопоставимые), приходящиеся на мощности, сданные в аренду;</t>
    </r>
  </si>
  <si>
    <r>
      <t>Qконсерв.</t>
    </r>
    <r>
      <rPr>
        <sz val="10"/>
        <color theme="1"/>
        <rFont val="Times New Roman"/>
        <family val="1"/>
        <charset val="204"/>
      </rPr>
      <t xml:space="preserve"> - объемы продукции (сопоставимые), приходящиеся на законсервированные мощности.</t>
    </r>
  </si>
  <si>
    <t>Если коэффициент использования производственных мощностей за отчетный период ниже 0,5 или среднеотраслевого, то у данной организации низкий уровень использования производственных мощностей.</t>
  </si>
  <si>
    <t>Характеризует степень загрузки производственных мощностей предприятия, выраженных как отношение фактического объема выпуска продукции к максимально возможному (без учета арендуемых и консервированных мощностей).</t>
  </si>
  <si>
    <r>
      <t xml:space="preserve">Зэ / Зп, </t>
    </r>
    <r>
      <rPr>
        <sz val="10"/>
        <color theme="1"/>
        <rFont val="Times New Roman"/>
        <family val="1"/>
        <charset val="204"/>
      </rPr>
      <t>где:</t>
    </r>
  </si>
  <si>
    <r>
      <t>Зэ</t>
    </r>
    <r>
      <rPr>
        <sz val="10"/>
        <color theme="1"/>
        <rFont val="Times New Roman"/>
        <family val="1"/>
        <charset val="204"/>
      </rPr>
      <t xml:space="preserve"> - совокупная стоимость затрат производственного назначения на горюче-смазочные материалы, теплоснабжение, потребление электричества, газоснабжение (на основании документов бухгалтерского учета);</t>
    </r>
  </si>
  <si>
    <r>
      <t>Зп</t>
    </r>
    <r>
      <rPr>
        <sz val="10"/>
        <color theme="1"/>
        <rFont val="Times New Roman"/>
        <family val="1"/>
        <charset val="204"/>
      </rPr>
      <t xml:space="preserve"> - себестоимость произведенной продукции (на основании документов бухгалтерского учета).</t>
    </r>
  </si>
  <si>
    <t>Характеризует энергоэффективность путем соотношения затрат на энергию и себестоимости продукции.</t>
  </si>
  <si>
    <r>
      <t xml:space="preserve">VIPSsp = (VIPS / VPS) * 100%, </t>
    </r>
    <r>
      <rPr>
        <sz val="10"/>
        <color theme="1"/>
        <rFont val="Times New Roman"/>
        <family val="1"/>
        <charset val="204"/>
      </rPr>
      <t>где:</t>
    </r>
  </si>
  <si>
    <r>
      <t>VIPS</t>
    </r>
    <r>
      <rPr>
        <sz val="10"/>
        <color theme="1"/>
        <rFont val="Times New Roman"/>
        <family val="1"/>
        <charset val="204"/>
      </rPr>
      <t xml:space="preserve"> - объем реализованных инновационных товаров, работ, услуг (в денежном выражении);</t>
    </r>
  </si>
  <si>
    <r>
      <t>VPS</t>
    </r>
    <r>
      <rPr>
        <i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общий объем реализованных товаров, работ, услуг (в денежном выражении)</t>
    </r>
    <r>
      <rPr>
        <i/>
        <sz val="10"/>
        <color theme="1"/>
        <rFont val="Times New Roman"/>
        <family val="1"/>
        <charset val="204"/>
      </rPr>
      <t>.</t>
    </r>
  </si>
  <si>
    <r>
      <t>Примечание.</t>
    </r>
    <r>
      <rPr>
        <i/>
        <sz val="10"/>
        <color theme="1"/>
        <rFont val="Times New Roman"/>
        <family val="1"/>
        <charset val="204"/>
      </rPr>
      <t xml:space="preserve"> Определение инновационных инвестиций приводится в статье 4 Закона Республики Узбекистан "Об инвестиционной деятельности". </t>
    </r>
  </si>
  <si>
    <t>1 - низкий уровень (до 7%)</t>
  </si>
  <si>
    <t>2 - умеренный уровень (от 7% до 10%)</t>
  </si>
  <si>
    <t>3 - средний уровень (от 10% до 15%)</t>
  </si>
  <si>
    <t>4 - высокий уровень (свыше 15%)</t>
  </si>
  <si>
    <t>Характеризует, какая выпускаемая организацией продукция носит инновационный характер.</t>
  </si>
  <si>
    <t>8. Доля затрат на инновационную деятельность в общих затратах организации</t>
  </si>
  <si>
    <r>
      <t xml:space="preserve">R&amp;DGE = (R&amp;D / GE) * 100%, </t>
    </r>
    <r>
      <rPr>
        <sz val="10"/>
        <color theme="1"/>
        <rFont val="Times New Roman"/>
        <family val="1"/>
        <charset val="204"/>
      </rPr>
      <t>где:</t>
    </r>
  </si>
  <si>
    <r>
      <t xml:space="preserve">R&amp;D - </t>
    </r>
    <r>
      <rPr>
        <sz val="10"/>
        <color theme="1"/>
        <rFont val="Times New Roman"/>
        <family val="1"/>
        <charset val="204"/>
      </rPr>
      <t>общие затраты на инновационную деятельность (в денежном выражении);</t>
    </r>
  </si>
  <si>
    <r>
      <t xml:space="preserve">GE - </t>
    </r>
    <r>
      <rPr>
        <sz val="10"/>
        <color theme="1"/>
        <rFont val="Times New Roman"/>
        <family val="1"/>
        <charset val="204"/>
      </rPr>
      <t>общие затраты организации (в денежном выражении).</t>
    </r>
  </si>
  <si>
    <r>
      <t>Примечание.</t>
    </r>
    <r>
      <rPr>
        <i/>
        <sz val="10"/>
        <color theme="1"/>
        <rFont val="Times New Roman"/>
        <family val="1"/>
        <charset val="204"/>
      </rPr>
      <t xml:space="preserve"> Определение инновационных инвестиций приводится в статье 4 Закона Республики Узбекистан "Об инвестиционной деятельности".</t>
    </r>
  </si>
  <si>
    <t>Целевое значение определяется соответствующей госпрограммой, либо органом управления организации.</t>
  </si>
  <si>
    <t>Показывает, какая часть всех расходов организации направляется на развитие инновационной деятельности на производстве.</t>
  </si>
  <si>
    <r>
      <t xml:space="preserve">Зобуч / Чср, </t>
    </r>
    <r>
      <rPr>
        <sz val="10"/>
        <color theme="1"/>
        <rFont val="Times New Roman"/>
        <family val="1"/>
        <charset val="204"/>
      </rPr>
      <t>где:</t>
    </r>
  </si>
  <si>
    <r>
      <t>Зобуч</t>
    </r>
    <r>
      <rPr>
        <sz val="10"/>
        <color theme="1"/>
        <rFont val="Times New Roman"/>
        <family val="1"/>
        <charset val="204"/>
      </rPr>
      <t xml:space="preserve"> - затраты на обучение персонала (на основании документов бухгалтерского учета);</t>
    </r>
  </si>
  <si>
    <t>Характеризует эффективность, оценивая соотношение затрат на обучение персонала к средней численности персонала.</t>
  </si>
  <si>
    <r>
      <t xml:space="preserve">Чнач / Чкон, </t>
    </r>
    <r>
      <rPr>
        <sz val="10"/>
        <color theme="1"/>
        <rFont val="Times New Roman"/>
        <family val="1"/>
        <charset val="204"/>
      </rPr>
      <t>где:</t>
    </r>
  </si>
  <si>
    <r>
      <t>Чнач</t>
    </r>
    <r>
      <rPr>
        <sz val="10"/>
        <color theme="1"/>
        <rFont val="Times New Roman"/>
        <family val="1"/>
        <charset val="204"/>
      </rPr>
      <t xml:space="preserve"> и </t>
    </r>
    <r>
      <rPr>
        <b/>
        <i/>
        <sz val="10"/>
        <color theme="1"/>
        <rFont val="Times New Roman"/>
        <family val="1"/>
        <charset val="204"/>
      </rPr>
      <t>Чкон</t>
    </r>
    <r>
      <rPr>
        <sz val="10"/>
        <color theme="1"/>
        <rFont val="Times New Roman"/>
        <family val="1"/>
        <charset val="204"/>
      </rPr>
      <t xml:space="preserve"> - численность сотрудников организации, на начало и конец периода, согласно информации кадровой службы.</t>
    </r>
  </si>
  <si>
    <t>Если менее единицы, то организация характеризуется текучестью кадров. В целом, чем выше показатель, тем выше текучесть кадров.</t>
  </si>
  <si>
    <t>Показывает, насколько сократилась численность работников организации.</t>
  </si>
  <si>
    <t>11. Индикатор выполнения Инвестиционной программы в денежном выражении*</t>
  </si>
  <si>
    <t>Отношение суммы денежных средств, освоенных в рамках выполнения Инвестиционной программы, к прогнозному значению, предусмотренному Инвестиционной программой.</t>
  </si>
  <si>
    <t>Целевое значение определяется в соответствующей госпрограмме либо органом управления организации.</t>
  </si>
  <si>
    <t>Отношение фактического показателя ввода мощностей к прогнозному заявленному значению.</t>
  </si>
  <si>
    <t>Отношение фактического денежного показателя параметров экспорта к прогнозному заявленному значению.</t>
  </si>
  <si>
    <t>Удельный вес</t>
  </si>
  <si>
    <t>Фактическое значение</t>
  </si>
  <si>
    <t>Процент выполнения</t>
  </si>
  <si>
    <t>расчета дополнительных ключевых показателей эффективности</t>
  </si>
  <si>
    <t>Рекомендуемый или минимальный норматив</t>
  </si>
  <si>
    <t>Норматив отсутствует. Коэффициент показывает, какую часть от имеющихся на конец отчетного периода основных средств составляют новые основные средства.</t>
  </si>
  <si>
    <t>Норматив отсутствует. Рекомендуется сопоставить значения со значениями других организаций отрасли.</t>
  </si>
  <si>
    <t>Определяет эффективность использования трудовых ресурсов организации и уровень производительности труда. Дополнительно характеризует финансовые ресурсы организации для ведения хозяйственной деятельности и исполнения обязательств, приведенные к одному работающему в анализируемый период.</t>
  </si>
  <si>
    <t>Норматив отсутствует.В целом, чем ниже значение, тем более энергоэффективно функционирует организация. Целесообразно рассмотрение значений показателя в динамике.</t>
  </si>
  <si>
    <r>
      <t>*)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Примечание. Заполняется при включении в Инвестиционную программу.</t>
    </r>
  </si>
  <si>
    <t>"Собрание законодательства Республики Узбекистан", 3 августа 2015 г., N 30, ст. 397</t>
  </si>
  <si>
    <t>Норматив отсутствует. В целом чем выше значение, тем больше средств организация выделяет на обучение персонала.</t>
  </si>
  <si>
    <t>расчета основных ключевых показателей эффективности</t>
  </si>
  <si>
    <r>
      <t>1. Прибыль до вычета процентов, налогов и амортизации (</t>
    </r>
    <r>
      <rPr>
        <b/>
        <sz val="10"/>
        <color theme="1"/>
        <rFont val="Times New Roman"/>
        <family val="1"/>
        <charset val="204"/>
      </rPr>
      <t>EBITDA</t>
    </r>
    <r>
      <rPr>
        <sz val="10"/>
        <color theme="1"/>
        <rFont val="Times New Roman"/>
        <family val="1"/>
        <charset val="204"/>
      </rPr>
      <t xml:space="preserve"> - Earnings Before Interest, Taxes, Depreciation &amp; Amortization)*</t>
    </r>
  </si>
  <si>
    <t>Норматив отсутствует. В целом чем выше значение, тем организация работает лучше. Целесообразно рассмотрение показателя в динамике и в сравнении с другими организациями отрасли.</t>
  </si>
  <si>
    <t>Норматив отсутствует.В целом чем ниже значение, тем организация работает лучше.Целесообразно рассмотрение показателя в динамике и в сравнении с другими организациями отрасли</t>
  </si>
  <si>
    <t>Норматив отсутствует.В целом чем выше значение, тем организация работает лучше.Целесообразно рассмотрение показателя в динамике и в сравнении с другими организациями отрасли.</t>
  </si>
  <si>
    <t>Если коэффициенты рентабельности за отчетный период:имеют значение ниже нуля (минусовой показатель), то организация считается убыточной;имеют значение ниже 0,05, то организация считается низкорентабельной (кроме предприятий-монополистов).</t>
  </si>
  <si>
    <t>Норма: Рекомендуемая нижняя граница этого показателя - 0,2, т. е. выполняется условие: Кал&gt; 0,2. При этом возможна дифференциация этого показателя по отраслям.</t>
  </si>
  <si>
    <t>Если коэффициент соотношения собственных и краткосрочных заемных средств на конец отчетного периода имеет значение менее 1, это свидетельствует о наличии у организации финансового риска. Понижение коэффициента свидетельствует о повышении финансового риска организации.</t>
  </si>
  <si>
    <t>Норматив отсутствует. Значение зависит от отрасли и масштабов деятельности организации. Высокое значение позволяет организации иметь остаток неоплаченной кредиторской задолженности в качестве условно бесплатного источника финансирования своей текущей деятельности.</t>
  </si>
  <si>
    <t>Норматив отсутствует. Значение зависит от отраслевых особенностей и технологии работы организации. В целом чем ниже значение, т. е. чем быстрее покупатели погашают свою задолженность, тем лучше для организации.</t>
  </si>
  <si>
    <t>Минимальное значение этого коэффициента - 0,2.Если коэффициент платежеспособности на конец отчетного периода имеет значение ниже 1,25, организация по этому показателю считается неплатежеспособной. Уменьшение коэффициента говорит о снижении платежных возможностей организации.</t>
  </si>
  <si>
    <t>Норматив отсутствует. В целом чем выше значение, тем большую доходность организация приносит акционерам (учредителям, собственнику). Повышение дивидендного дохода может быть вызвано не только увеличением дивидендных выплат на акцию, но и снижением рыночной цены акции.</t>
  </si>
  <si>
    <t>Показывает, какая часть чистой прибыли организации направляется на выплату дивидендов по обыкновенным акциям. Является мерой текущего дохода, т. е. дохода акционера без учета прироста стоимости капитала организации</t>
  </si>
  <si>
    <t>2014г.</t>
  </si>
  <si>
    <t>за 9-мес.2015г.</t>
  </si>
  <si>
    <t>Норматив отсутствует. В целом чем выше значение, тем организация работает лучше.Целесообразно рассмотрение показателя в динамике и в сравнении с другими организациями отрасли</t>
  </si>
  <si>
    <t>бугдой захираси, ички тизим Дт карзи ва Ф-Х берилган уруглик</t>
  </si>
  <si>
    <t>ички тизим б-н фонд ва узок муд кредит чегирилганда</t>
  </si>
  <si>
    <t xml:space="preserve"> ички тизим Дт карзи ва Ф-Х берилган уруглик</t>
  </si>
  <si>
    <t>фондга карздорлик чегирилганда</t>
  </si>
  <si>
    <r>
      <rPr>
        <b/>
        <sz val="10"/>
        <color theme="1"/>
        <rFont val="Times New Roman"/>
        <family val="1"/>
        <charset val="204"/>
      </rPr>
      <t>Чп</t>
    </r>
    <r>
      <rPr>
        <sz val="10"/>
        <color theme="1"/>
        <rFont val="Times New Roman"/>
        <family val="1"/>
        <charset val="204"/>
      </rPr>
      <t xml:space="preserve"> -</t>
    </r>
    <r>
      <rPr>
        <b/>
        <sz val="10"/>
        <color theme="1"/>
        <rFont val="Times New Roman"/>
        <family val="1"/>
        <charset val="204"/>
      </rPr>
      <t xml:space="preserve"> чистая прибыль отчетного периода</t>
    </r>
    <r>
      <rPr>
        <sz val="10"/>
        <color theme="1"/>
        <rFont val="Times New Roman"/>
        <family val="1"/>
        <charset val="204"/>
      </rPr>
      <t>, (строка 270 "Чистая прибыль (убыток) отчетного периода", графа 5 "Доходы (прибыль)", форма N 2 "Отчет о финансовых результатах";</t>
    </r>
  </si>
  <si>
    <r>
      <rPr>
        <b/>
        <i/>
        <sz val="12"/>
        <color theme="1"/>
        <rFont val="Times New Roman"/>
        <family val="1"/>
        <charset val="204"/>
      </rPr>
      <t>*) Примечание.</t>
    </r>
    <r>
      <rPr>
        <i/>
        <sz val="12"/>
        <color theme="1"/>
        <rFont val="Times New Roman"/>
        <family val="1"/>
        <charset val="204"/>
      </rPr>
      <t xml:space="preserve"> Заполняется после перехода к публикации отчетности по международным стандартам финансовой отчетности.</t>
    </r>
  </si>
  <si>
    <t>ички тизим, фонд  чегирилганда ва ФХ хакдорлиги</t>
  </si>
  <si>
    <r>
      <t>Qпроектн.</t>
    </r>
    <r>
      <rPr>
        <sz val="10"/>
        <color theme="1"/>
        <rFont val="Times New Roman"/>
        <family val="1"/>
        <charset val="204"/>
      </rPr>
      <t xml:space="preserve"> - максимальный объем выпуска продукции (оказания услуг) за установленный период времени в сопоставимом стоимостном выражении, который может быть достигнут при полном использовании основного технологического оборудования и соблюдении установленного режима работы;</t>
    </r>
  </si>
  <si>
    <t>12. Индикатор выполнения параметров ввода мощностей (в % к заявленному физическому объему)*</t>
  </si>
  <si>
    <t>Прогнозное (целевое) значение</t>
  </si>
  <si>
    <t>1-кв. 2015г.</t>
  </si>
  <si>
    <t>2-кв. 2015г.</t>
  </si>
  <si>
    <t>3-кв. 2015г.</t>
  </si>
  <si>
    <t>4-кв. 2015г.</t>
  </si>
  <si>
    <t>(прибыль до налогообложения) + (проценты к уплате) + (амортизация ОС и НМА)</t>
  </si>
  <si>
    <t>Факт</t>
  </si>
  <si>
    <t>Прогноз за 9-мес.2015г.</t>
  </si>
  <si>
    <t>=EBITDA</t>
  </si>
  <si>
    <t>1-кв. 2015г</t>
  </si>
  <si>
    <t>2-кв. 2015г</t>
  </si>
  <si>
    <t>3-кв. 2015г</t>
  </si>
  <si>
    <t>Прогноз 4-кв. 2015г</t>
  </si>
  <si>
    <t>№</t>
  </si>
  <si>
    <t>(510-545)</t>
  </si>
  <si>
    <t>(510-498)</t>
  </si>
  <si>
    <t>(611-580)</t>
  </si>
  <si>
    <t>(545-710)</t>
  </si>
  <si>
    <t>(710-611)</t>
  </si>
  <si>
    <t>расчета основных ключевых показателей эффективности    (2015год)</t>
  </si>
  <si>
    <t>Прогноз за 2015 г.</t>
  </si>
  <si>
    <t xml:space="preserve">Факт </t>
  </si>
  <si>
    <t>4-кв.2015г.</t>
  </si>
  <si>
    <t>11. Коэффициент покрытия (платеже способности)</t>
  </si>
  <si>
    <t>расчета дополнительных ключевых показателей эффективности (2015г)</t>
  </si>
  <si>
    <t>"Галла-Алтег" АЖ</t>
  </si>
  <si>
    <t>Бошкарув раиси</t>
  </si>
  <si>
    <t>Бош хисобчи</t>
  </si>
  <si>
    <t>Кувватов К.Т.</t>
  </si>
  <si>
    <t>Эшмаматов А.М.</t>
  </si>
  <si>
    <t>Иктисод булими</t>
  </si>
  <si>
    <t>основных ключевых показателей эффективности (за 1-кв 2016г.)</t>
  </si>
  <si>
    <t>факт 2-кв.2016г.</t>
  </si>
  <si>
    <t>Факт 2-кв.2016г.</t>
  </si>
  <si>
    <t>(544-712)</t>
  </si>
  <si>
    <t>Факт 3-кв.2016г.</t>
  </si>
  <si>
    <t>факт3-кв.2016г.</t>
  </si>
  <si>
    <t>факт4-кв.2016г.</t>
  </si>
  <si>
    <t>(576-554)</t>
  </si>
  <si>
    <t>Факт 4-кв.2016г.</t>
  </si>
  <si>
    <r>
      <t>П2</t>
    </r>
    <r>
      <rPr>
        <sz val="9"/>
        <color theme="1"/>
        <rFont val="Times New Roman"/>
        <family val="1"/>
        <charset val="204"/>
      </rPr>
      <t xml:space="preserve"> - обязательства, раздел II пассива баланса, строка 770;</t>
    </r>
  </si>
  <si>
    <r>
      <rPr>
        <b/>
        <sz val="9"/>
        <color theme="1"/>
        <rFont val="Times New Roman"/>
        <family val="1"/>
        <charset val="204"/>
      </rPr>
      <t>Чп</t>
    </r>
    <r>
      <rPr>
        <sz val="9"/>
        <color theme="1"/>
        <rFont val="Times New Roman"/>
        <family val="1"/>
        <charset val="204"/>
      </rPr>
      <t xml:space="preserve"> -</t>
    </r>
    <r>
      <rPr>
        <b/>
        <sz val="9"/>
        <color theme="1"/>
        <rFont val="Times New Roman"/>
        <family val="1"/>
        <charset val="204"/>
      </rPr>
      <t xml:space="preserve"> чистая прибыль отчетного периода</t>
    </r>
    <r>
      <rPr>
        <sz val="9"/>
        <color theme="1"/>
        <rFont val="Times New Roman"/>
        <family val="1"/>
        <charset val="204"/>
      </rPr>
      <t>, (строка 270 "Чистая прибыль (убыток) отчетного периода", графа 5 "Доходы (прибыль)", форма N 2 "Отчет о финансовых результатах";</t>
    </r>
  </si>
  <si>
    <t>2015 годов</t>
  </si>
  <si>
    <t>(чистая прибыль) / (привлеченный капитал на начало и конец периода). Форма-1, 480-гр</t>
  </si>
  <si>
    <r>
      <t>Дзср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среднее арифметическое значение дебиторской задолженности (половина от суммы значений на начало и конец периода по строке 210 "Дебиторы, всего" раздела I актива баланса, формы N 1 "Бухгалтерский баланс").</t>
    </r>
  </si>
  <si>
    <r>
      <t>А</t>
    </r>
    <r>
      <rPr>
        <b/>
        <i/>
        <sz val="8"/>
        <color theme="1"/>
        <rFont val="Times New Roman"/>
        <family val="1"/>
        <charset val="204"/>
      </rPr>
      <t>2</t>
    </r>
    <r>
      <rPr>
        <sz val="8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- текущие активы (производственные запасы, готовая продукция, денежные средства, дебиторская задолженность и др.), раздел I актива баланса, строка 390;</t>
    </r>
  </si>
  <si>
    <r>
      <t>Чнач</t>
    </r>
    <r>
      <rPr>
        <sz val="8"/>
        <color theme="1"/>
        <rFont val="Times New Roman"/>
        <family val="1"/>
        <charset val="204"/>
      </rPr>
      <t xml:space="preserve"> и </t>
    </r>
    <r>
      <rPr>
        <b/>
        <i/>
        <sz val="8"/>
        <color theme="1"/>
        <rFont val="Times New Roman"/>
        <family val="1"/>
        <charset val="204"/>
      </rPr>
      <t>Чкон</t>
    </r>
    <r>
      <rPr>
        <sz val="8"/>
        <color theme="1"/>
        <rFont val="Times New Roman"/>
        <family val="1"/>
        <charset val="204"/>
      </rPr>
      <t xml:space="preserve"> - численность сотрудников организации, на начало и конец периода, согласно информации кадровой службы.</t>
    </r>
  </si>
  <si>
    <r>
      <t>Вр</t>
    </r>
    <r>
      <rPr>
        <sz val="9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(строка 010, графа 5 "Чистая выручка от реализации продукции (товаров, работ, услуг" формы N 2 "Отчет о финансовых результатах");</t>
    </r>
  </si>
  <si>
    <t>"Ғалла-Алтег" АЖ</t>
  </si>
  <si>
    <t>Халмухамедов Б.М.</t>
  </si>
  <si>
    <t>Бош ҳисобчи</t>
  </si>
  <si>
    <t>Иқтисод бўлими</t>
  </si>
  <si>
    <t>факт 4-кв.2017г.</t>
  </si>
  <si>
    <t>(576-532)</t>
  </si>
  <si>
    <t>Факт 4-кв.2017г.</t>
  </si>
  <si>
    <t xml:space="preserve">Бошқарув раиси </t>
  </si>
  <si>
    <t>Иқтисод бўлими бошлиги</t>
  </si>
  <si>
    <t>Норкабилов А.</t>
  </si>
  <si>
    <t>(516-480)</t>
  </si>
  <si>
    <t>факт 2-кв.2019г.</t>
  </si>
  <si>
    <t>Факт 2-кв.2019г.</t>
  </si>
  <si>
    <t>(чистая прибыль) / (среднегодовой акционерный капитал). 480гр.</t>
  </si>
  <si>
    <t>основных ключевых показателей эффективности (за 3-кв. 2019г.)</t>
  </si>
  <si>
    <t>дополнительных ключевых показателей эффективности (за 3-кв. 2019г.)</t>
  </si>
  <si>
    <t>1. Асосий  воситаларнинг  амортизация  нормаси</t>
  </si>
  <si>
    <t>2.Асосий  фондларнинг янгиланиш коэффициенти</t>
  </si>
  <si>
    <t>3. Мехнат  унумдорлиги</t>
  </si>
  <si>
    <t>4.Капитал унумдорлик</t>
  </si>
  <si>
    <t>5. Ишлаб  чиқариш қуввати коэффициенти</t>
  </si>
  <si>
    <t>6. Энергия самарадорлиги (махсулот таннархи тузилмасида энергия харажатларининг улуши)</t>
  </si>
  <si>
    <t>7. Сотилган махсулотларнинг умумий хажмида инновацион махсулотларнинг улуши</t>
  </si>
  <si>
    <t>8.Корхонанинг  умумий харажатларида иноовацион фаолият улуши</t>
  </si>
  <si>
    <t>9. Ходимларни касбғхунарга ўқитиш учун кетказилган харажатлар, бир ходим хисобида</t>
  </si>
  <si>
    <t>10. Кадрлар алмашинуви коэффициенти</t>
  </si>
  <si>
    <t>11.Пул кўрсаткичида инвестиция дастурини  амалга  ошириш</t>
  </si>
  <si>
    <t>12. Қувватларни ишга тушириш параметрларини бажариш кўрсаткичи (эълон қилинган жисмоний хажмдан фоизда)</t>
  </si>
  <si>
    <t>13. Экспорт параметрларини амалга ошириш кўрсаткичи (пул хажмига нисбатан фоизда)</t>
  </si>
  <si>
    <t>Низомга</t>
  </si>
  <si>
    <t>Қўшимча асосий  самарадорлик кўрсаткичлари (1-ч. 2019й.)</t>
  </si>
  <si>
    <t>РУЙХАТИ</t>
  </si>
  <si>
    <t>Кўрсаткич</t>
  </si>
  <si>
    <t>Оғирлиги</t>
  </si>
  <si>
    <t>1-ч. 2019г.</t>
  </si>
  <si>
    <t>2-ч. 2019г.</t>
  </si>
  <si>
    <t>3-ч. 2019г.</t>
  </si>
  <si>
    <t>Прогноз 4-ч. 2019г.</t>
  </si>
  <si>
    <t>1-ч. 2020г.</t>
  </si>
  <si>
    <t>2-ч. 2020г.</t>
  </si>
  <si>
    <t>3-ч. 2020г.</t>
  </si>
  <si>
    <t>4-ч. 2020г.</t>
  </si>
  <si>
    <t>Прогноз (мақсадли) қиймати</t>
  </si>
  <si>
    <t>Хақиқий қиймат</t>
  </si>
  <si>
    <t>Бажарилиш фоизи</t>
  </si>
  <si>
    <t>ИЧСК</t>
  </si>
  <si>
    <t>№2б Илова</t>
  </si>
  <si>
    <t>№2а Илова</t>
  </si>
  <si>
    <t>Прогноз (мақсадли) қиймати 2020й.</t>
  </si>
  <si>
    <t>Хақиқий қиймати</t>
  </si>
  <si>
    <t>Қўшимча асосий  самарадорлик кўрсаткичлари (3-ч. 2019й.)</t>
  </si>
  <si>
    <t>2а Илова</t>
  </si>
  <si>
    <t xml:space="preserve">Низомга </t>
  </si>
  <si>
    <r>
      <t>1. Фоизлар, солиқлар ва амортизацияни тўлашдан олдинги даромад. (</t>
    </r>
    <r>
      <rPr>
        <b/>
        <sz val="10"/>
        <color theme="1"/>
        <rFont val="Times New Roman"/>
        <family val="1"/>
        <charset val="204"/>
      </rPr>
      <t xml:space="preserve">EBITDA - </t>
    </r>
    <r>
      <rPr>
        <sz val="10"/>
        <color theme="1"/>
        <rFont val="Times New Roman"/>
        <family val="1"/>
        <charset val="204"/>
      </rPr>
      <t xml:space="preserve">Earnings Before Interest, Taxes, Depreciation &amp; Amortization)* </t>
    </r>
  </si>
  <si>
    <r>
      <t>2. Харажатлар ва даромадлар нисбати (</t>
    </r>
    <r>
      <rPr>
        <b/>
        <sz val="10"/>
        <color theme="1"/>
        <rFont val="Times New Roman"/>
        <family val="1"/>
        <charset val="204"/>
      </rPr>
      <t xml:space="preserve">CIR - </t>
    </r>
    <r>
      <rPr>
        <sz val="10"/>
        <color theme="1"/>
        <rFont val="Times New Roman"/>
        <family val="1"/>
        <charset val="204"/>
      </rPr>
      <t>Cost Income Ratio)*</t>
    </r>
  </si>
  <si>
    <r>
      <t>3. Жалб қилинган капитал рентабеллиги (</t>
    </r>
    <r>
      <rPr>
        <b/>
        <sz val="10"/>
        <color theme="1"/>
        <rFont val="Times New Roman"/>
        <family val="1"/>
        <charset val="204"/>
      </rPr>
      <t xml:space="preserve">ROCE - </t>
    </r>
    <r>
      <rPr>
        <sz val="10"/>
        <color theme="1"/>
        <rFont val="Times New Roman"/>
        <family val="1"/>
        <charset val="204"/>
      </rPr>
      <t xml:space="preserve">Return on Capital Employed)* </t>
    </r>
  </si>
  <si>
    <r>
      <t>4. Акциядорлик капитал рентабеллиги (</t>
    </r>
    <r>
      <rPr>
        <b/>
        <sz val="10"/>
        <color theme="1"/>
        <rFont val="Times New Roman"/>
        <family val="1"/>
        <charset val="204"/>
      </rPr>
      <t xml:space="preserve">ROE - </t>
    </r>
    <r>
      <rPr>
        <sz val="10"/>
        <color theme="1"/>
        <rFont val="Times New Roman"/>
        <family val="1"/>
        <charset val="204"/>
      </rPr>
      <t>Return On Equity)*</t>
    </r>
  </si>
  <si>
    <r>
      <t>5.Акциядорларнинг сармоя рентабеллиги (</t>
    </r>
    <r>
      <rPr>
        <b/>
        <sz val="10"/>
        <color theme="1"/>
        <rFont val="Times New Roman"/>
        <family val="1"/>
        <charset val="204"/>
      </rPr>
      <t xml:space="preserve">TSR - </t>
    </r>
    <r>
      <rPr>
        <sz val="10"/>
        <color theme="1"/>
        <rFont val="Times New Roman"/>
        <family val="1"/>
        <charset val="204"/>
      </rPr>
      <t>Total Shareholders Return)*</t>
    </r>
  </si>
  <si>
    <t>6. Активлар рентабеллиги</t>
  </si>
  <si>
    <t>7. Мутлақ ликвидлик коэффициенти</t>
  </si>
  <si>
    <t>8. Молиявий эркинлик коэффициенти</t>
  </si>
  <si>
    <t>9. Кредиторлик қарзларнинг кун хисобидаги айланмаси</t>
  </si>
  <si>
    <t>9. Дебиторлик қарзларнинг кун хисобидаги айланмаси</t>
  </si>
  <si>
    <t>11.Қоплаш коэффициенти (тўлов қобилияти)</t>
  </si>
  <si>
    <t>13. Дивиденд даромади</t>
  </si>
  <si>
    <r>
      <t>*)</t>
    </r>
    <r>
      <rPr>
        <b/>
        <sz val="12"/>
        <color theme="1"/>
        <rFont val="Times New Roman"/>
        <family val="1"/>
        <charset val="204"/>
      </rPr>
      <t xml:space="preserve"> Изох: Халқаро молиявий ҳисобот стандартларига мувофиқ молиявий ҳисоботларни нашр қилингандан кейин тўлдирилиши керак.</t>
    </r>
  </si>
  <si>
    <t>Жами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</si>
</sst>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"/>
  </numFmts>
  <fonts count="2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u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rgb="FF80008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5">
    <xf numFmtId="0" fontId="0" fillId="0" borderId="0" xfId="0"/>
    <xf numFmtId="0" fontId="2" fillId="0" borderId="0" xfId="0" applyFont="1" applyAlignment="1">
      <alignment horizontal="justify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justify"/>
    </xf>
    <xf numFmtId="0" fontId="3" fillId="4" borderId="30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0" fontId="2" fillId="5" borderId="0" xfId="0" applyFont="1" applyFill="1" applyAlignment="1">
      <alignment horizontal="justify"/>
    </xf>
    <xf numFmtId="0" fontId="0" fillId="5" borderId="0" xfId="0" applyFill="1"/>
    <xf numFmtId="0" fontId="3" fillId="5" borderId="1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2" fillId="3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18" fillId="3" borderId="0" xfId="0" applyFont="1" applyFill="1"/>
    <xf numFmtId="0" fontId="18" fillId="3" borderId="0" xfId="0" applyFont="1" applyFill="1" applyAlignment="1">
      <alignment horizontal="center"/>
    </xf>
    <xf numFmtId="0" fontId="3" fillId="3" borderId="43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  <xf numFmtId="165" fontId="2" fillId="3" borderId="8" xfId="0" applyNumberFormat="1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4" fillId="3" borderId="59" xfId="0" applyFont="1" applyFill="1" applyBorder="1" applyAlignment="1">
      <alignment horizontal="left" vertical="center" wrapText="1"/>
    </xf>
    <xf numFmtId="0" fontId="4" fillId="3" borderId="60" xfId="0" applyFont="1" applyFill="1" applyBorder="1" applyAlignment="1">
      <alignment horizontal="left" vertical="center" wrapText="1"/>
    </xf>
    <xf numFmtId="0" fontId="4" fillId="3" borderId="36" xfId="0" applyFont="1" applyFill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2" fontId="2" fillId="3" borderId="8" xfId="0" applyNumberFormat="1" applyFont="1" applyFill="1" applyBorder="1" applyAlignment="1">
      <alignment horizontal="center"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2" fontId="2" fillId="3" borderId="58" xfId="0" applyNumberFormat="1" applyFont="1" applyFill="1" applyBorder="1" applyAlignment="1">
      <alignment horizontal="center" vertical="center" wrapText="1"/>
    </xf>
    <xf numFmtId="166" fontId="0" fillId="3" borderId="1" xfId="0" applyNumberFormat="1" applyFill="1" applyBorder="1" applyAlignment="1">
      <alignment horizontal="center" vertical="center" wrapText="1"/>
    </xf>
    <xf numFmtId="165" fontId="0" fillId="6" borderId="1" xfId="0" applyNumberFormat="1" applyFill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0" xfId="0" applyFont="1"/>
    <xf numFmtId="0" fontId="9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/>
    <xf numFmtId="0" fontId="19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" fontId="0" fillId="6" borderId="1" xfId="0" applyNumberFormat="1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 vertical="center" wrapText="1"/>
    </xf>
    <xf numFmtId="0" fontId="2" fillId="3" borderId="0" xfId="0" applyFont="1" applyFill="1" applyAlignment="1">
      <alignment horizontal="justify"/>
    </xf>
    <xf numFmtId="0" fontId="3" fillId="3" borderId="32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0" fontId="21" fillId="6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1" fontId="21" fillId="0" borderId="1" xfId="0" applyNumberFormat="1" applyFont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center"/>
    </xf>
    <xf numFmtId="0" fontId="0" fillId="8" borderId="1" xfId="0" applyFill="1" applyBorder="1" applyAlignment="1">
      <alignment horizontal="center"/>
    </xf>
    <xf numFmtId="2" fontId="0" fillId="8" borderId="1" xfId="0" applyNumberFormat="1" applyFill="1" applyBorder="1" applyAlignment="1">
      <alignment horizontal="center"/>
    </xf>
    <xf numFmtId="166" fontId="0" fillId="8" borderId="1" xfId="0" applyNumberFormat="1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9" borderId="0" xfId="0" applyFill="1" applyAlignment="1">
      <alignment horizontal="center"/>
    </xf>
    <xf numFmtId="0" fontId="3" fillId="9" borderId="1" xfId="0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21" fillId="3" borderId="1" xfId="0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7" fillId="3" borderId="0" xfId="0" applyFont="1" applyFill="1"/>
    <xf numFmtId="0" fontId="4" fillId="3" borderId="2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21" fillId="10" borderId="1" xfId="0" applyFont="1" applyFill="1" applyBorder="1" applyAlignment="1">
      <alignment horizontal="center" vertical="center" wrapText="1"/>
    </xf>
    <xf numFmtId="1" fontId="0" fillId="7" borderId="1" xfId="0" applyNumberForma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5" fillId="3" borderId="0" xfId="0" applyFont="1" applyFill="1"/>
    <xf numFmtId="0" fontId="16" fillId="3" borderId="0" xfId="0" applyFont="1" applyFill="1"/>
    <xf numFmtId="0" fontId="17" fillId="3" borderId="0" xfId="0" applyFont="1" applyFill="1" applyAlignment="1">
      <alignment horizontal="center"/>
    </xf>
    <xf numFmtId="0" fontId="18" fillId="3" borderId="0" xfId="0" applyFont="1" applyFill="1" applyAlignment="1"/>
    <xf numFmtId="2" fontId="2" fillId="3" borderId="41" xfId="0" applyNumberFormat="1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2" fontId="2" fillId="3" borderId="9" xfId="0" applyNumberFormat="1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3" borderId="56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left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2" fontId="2" fillId="3" borderId="7" xfId="0" applyNumberFormat="1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61" xfId="0" applyFont="1" applyFill="1" applyBorder="1" applyAlignment="1">
      <alignment horizontal="center" vertical="center" wrapText="1"/>
    </xf>
    <xf numFmtId="0" fontId="2" fillId="3" borderId="5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left"/>
    </xf>
    <xf numFmtId="0" fontId="21" fillId="3" borderId="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left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left" vertical="center" wrapText="1"/>
    </xf>
    <xf numFmtId="164" fontId="2" fillId="3" borderId="25" xfId="0" applyNumberFormat="1" applyFont="1" applyFill="1" applyBorder="1" applyAlignment="1">
      <alignment horizontal="center" vertical="center" wrapText="1"/>
    </xf>
    <xf numFmtId="1" fontId="2" fillId="3" borderId="6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left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165" fontId="2" fillId="3" borderId="55" xfId="0" applyNumberFormat="1" applyFont="1" applyFill="1" applyBorder="1" applyAlignment="1">
      <alignment horizontal="center" vertical="center" wrapText="1"/>
    </xf>
    <xf numFmtId="165" fontId="2" fillId="3" borderId="14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" fontId="21" fillId="2" borderId="1" xfId="0" applyNumberFormat="1" applyFont="1" applyFill="1" applyBorder="1" applyAlignment="1">
      <alignment horizontal="center"/>
    </xf>
    <xf numFmtId="165" fontId="0" fillId="8" borderId="1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0" fillId="11" borderId="0" xfId="0" applyFill="1"/>
    <xf numFmtId="0" fontId="21" fillId="3" borderId="0" xfId="0" applyFont="1" applyFill="1"/>
    <xf numFmtId="0" fontId="22" fillId="11" borderId="0" xfId="0" applyFont="1" applyFill="1"/>
    <xf numFmtId="0" fontId="0" fillId="6" borderId="0" xfId="0" applyFill="1"/>
    <xf numFmtId="0" fontId="0" fillId="6" borderId="15" xfId="0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0" fontId="0" fillId="6" borderId="27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vertical="center" wrapText="1"/>
    </xf>
    <xf numFmtId="0" fontId="3" fillId="6" borderId="27" xfId="0" applyFont="1" applyFill="1" applyBorder="1" applyAlignment="1">
      <alignment vertical="center" wrapText="1"/>
    </xf>
    <xf numFmtId="0" fontId="3" fillId="6" borderId="4" xfId="0" applyFont="1" applyFill="1" applyBorder="1" applyAlignment="1">
      <alignment vertical="center" wrapText="1"/>
    </xf>
    <xf numFmtId="0" fontId="3" fillId="6" borderId="12" xfId="0" applyFont="1" applyFill="1" applyBorder="1" applyAlignment="1">
      <alignment vertical="center" wrapText="1"/>
    </xf>
    <xf numFmtId="0" fontId="3" fillId="6" borderId="14" xfId="0" applyFont="1" applyFill="1" applyBorder="1" applyAlignment="1">
      <alignment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2" fillId="6" borderId="52" xfId="0" applyFont="1" applyFill="1" applyBorder="1" applyAlignment="1">
      <alignment horizontal="center" vertical="center" wrapText="1"/>
    </xf>
    <xf numFmtId="2" fontId="2" fillId="6" borderId="18" xfId="0" applyNumberFormat="1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5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1" fontId="2" fillId="6" borderId="18" xfId="0" applyNumberFormat="1" applyFont="1" applyFill="1" applyBorder="1" applyAlignment="1">
      <alignment horizontal="center" vertical="center" wrapText="1"/>
    </xf>
    <xf numFmtId="2" fontId="2" fillId="6" borderId="9" xfId="0" applyNumberFormat="1" applyFont="1" applyFill="1" applyBorder="1" applyAlignment="1">
      <alignment horizontal="center" vertical="center" wrapText="1"/>
    </xf>
    <xf numFmtId="2" fontId="2" fillId="6" borderId="53" xfId="0" applyNumberFormat="1" applyFont="1" applyFill="1" applyBorder="1" applyAlignment="1">
      <alignment horizontal="center" vertical="center" wrapText="1"/>
    </xf>
    <xf numFmtId="165" fontId="2" fillId="6" borderId="9" xfId="0" applyNumberFormat="1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2" fillId="6" borderId="5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center" wrapText="1"/>
    </xf>
    <xf numFmtId="0" fontId="2" fillId="6" borderId="28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27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165" fontId="2" fillId="6" borderId="1" xfId="0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3" fillId="6" borderId="38" xfId="0" applyFont="1" applyFill="1" applyBorder="1" applyAlignment="1">
      <alignment horizontal="center" vertical="center" wrapText="1"/>
    </xf>
    <xf numFmtId="0" fontId="3" fillId="6" borderId="39" xfId="0" applyFont="1" applyFill="1" applyBorder="1" applyAlignment="1">
      <alignment horizontal="center" vertical="center" wrapText="1"/>
    </xf>
    <xf numFmtId="0" fontId="3" fillId="6" borderId="56" xfId="0" applyFont="1" applyFill="1" applyBorder="1" applyAlignment="1">
      <alignment horizontal="center" vertical="center" wrapText="1"/>
    </xf>
    <xf numFmtId="0" fontId="3" fillId="6" borderId="43" xfId="0" applyFont="1" applyFill="1" applyBorder="1" applyAlignment="1">
      <alignment horizontal="center" vertical="center" wrapText="1"/>
    </xf>
    <xf numFmtId="0" fontId="3" fillId="6" borderId="50" xfId="0" applyFont="1" applyFill="1" applyBorder="1" applyAlignment="1">
      <alignment horizontal="center" vertical="center" wrapText="1"/>
    </xf>
    <xf numFmtId="0" fontId="4" fillId="6" borderId="37" xfId="0" applyFont="1" applyFill="1" applyBorder="1" applyAlignment="1">
      <alignment horizontal="left" vertical="center" wrapText="1"/>
    </xf>
    <xf numFmtId="0" fontId="4" fillId="6" borderId="47" xfId="0" applyFont="1" applyFill="1" applyBorder="1" applyAlignment="1">
      <alignment horizontal="center" vertical="center" wrapText="1"/>
    </xf>
    <xf numFmtId="0" fontId="4" fillId="6" borderId="36" xfId="0" applyFont="1" applyFill="1" applyBorder="1" applyAlignment="1">
      <alignment horizontal="center" vertical="center" wrapText="1"/>
    </xf>
    <xf numFmtId="1" fontId="4" fillId="6" borderId="6" xfId="0" applyNumberFormat="1" applyFont="1" applyFill="1" applyBorder="1" applyAlignment="1">
      <alignment horizontal="center" vertical="center" wrapText="1"/>
    </xf>
    <xf numFmtId="0" fontId="2" fillId="6" borderId="51" xfId="0" applyFont="1" applyFill="1" applyBorder="1" applyAlignment="1">
      <alignment horizontal="center" vertical="center" wrapText="1"/>
    </xf>
    <xf numFmtId="0" fontId="4" fillId="6" borderId="59" xfId="0" applyFont="1" applyFill="1" applyBorder="1" applyAlignment="1">
      <alignment horizontal="left" vertical="center" wrapText="1"/>
    </xf>
    <xf numFmtId="0" fontId="2" fillId="6" borderId="5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2" fontId="2" fillId="6" borderId="7" xfId="0" applyNumberFormat="1" applyFont="1" applyFill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vertical="center" wrapText="1"/>
    </xf>
    <xf numFmtId="164" fontId="2" fillId="6" borderId="7" xfId="0" applyNumberFormat="1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0" fontId="4" fillId="6" borderId="60" xfId="0" applyFont="1" applyFill="1" applyBorder="1" applyAlignment="1">
      <alignment horizontal="left" vertical="center" wrapText="1"/>
    </xf>
    <xf numFmtId="0" fontId="2" fillId="6" borderId="44" xfId="0" applyFont="1" applyFill="1" applyBorder="1" applyAlignment="1">
      <alignment horizontal="center" vertical="center" wrapText="1"/>
    </xf>
    <xf numFmtId="0" fontId="2" fillId="6" borderId="41" xfId="0" applyFont="1" applyFill="1" applyBorder="1" applyAlignment="1">
      <alignment horizontal="center" vertical="center" wrapText="1"/>
    </xf>
    <xf numFmtId="2" fontId="2" fillId="6" borderId="41" xfId="0" applyNumberFormat="1" applyFont="1" applyFill="1" applyBorder="1" applyAlignment="1">
      <alignment horizontal="center" vertical="center" wrapText="1"/>
    </xf>
    <xf numFmtId="0" fontId="2" fillId="6" borderId="61" xfId="0" applyFont="1" applyFill="1" applyBorder="1" applyAlignment="1">
      <alignment horizontal="center" vertical="center" wrapText="1"/>
    </xf>
    <xf numFmtId="0" fontId="2" fillId="6" borderId="58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2" fontId="3" fillId="6" borderId="56" xfId="0" applyNumberFormat="1" applyFont="1" applyFill="1" applyBorder="1" applyAlignment="1">
      <alignment horizontal="center" vertical="center" wrapText="1"/>
    </xf>
    <xf numFmtId="0" fontId="2" fillId="6" borderId="39" xfId="0" applyFont="1" applyFill="1" applyBorder="1" applyAlignment="1">
      <alignment horizontal="center" vertical="center" wrapText="1"/>
    </xf>
    <xf numFmtId="0" fontId="2" fillId="6" borderId="38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164" fontId="2" fillId="6" borderId="53" xfId="0" applyNumberFormat="1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right"/>
    </xf>
    <xf numFmtId="0" fontId="1" fillId="6" borderId="0" xfId="0" applyFont="1" applyFill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right"/>
    </xf>
    <xf numFmtId="0" fontId="1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right"/>
    </xf>
    <xf numFmtId="0" fontId="1" fillId="3" borderId="0" xfId="0" applyFont="1" applyFill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6" borderId="40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right"/>
    </xf>
    <xf numFmtId="0" fontId="1" fillId="6" borderId="0" xfId="0" applyFont="1" applyFill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42" xfId="0" applyFont="1" applyFill="1" applyBorder="1" applyAlignment="1">
      <alignment horizontal="center" vertical="center" wrapText="1"/>
    </xf>
    <xf numFmtId="0" fontId="3" fillId="6" borderId="45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27" xfId="0" applyFont="1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 wrapText="1"/>
    </xf>
    <xf numFmtId="0" fontId="0" fillId="6" borderId="22" xfId="0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3" fillId="5" borderId="0" xfId="0" applyFont="1" applyFill="1" applyAlignment="1">
      <alignment horizontal="right"/>
    </xf>
    <xf numFmtId="0" fontId="1" fillId="5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4" borderId="0" xfId="0" applyFont="1" applyFill="1" applyAlignment="1">
      <alignment horizontal="right"/>
    </xf>
    <xf numFmtId="0" fontId="1" fillId="4" borderId="0" xfId="0" applyFont="1" applyFill="1" applyAlignment="1">
      <alignment horizontal="center"/>
    </xf>
    <xf numFmtId="0" fontId="3" fillId="4" borderId="11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3" fillId="6" borderId="34" xfId="0" applyFont="1" applyFill="1" applyBorder="1" applyAlignment="1">
      <alignment horizontal="right"/>
    </xf>
    <xf numFmtId="0" fontId="1" fillId="6" borderId="0" xfId="0" applyFont="1" applyFill="1" applyAlignment="1">
      <alignment horizontal="center"/>
    </xf>
    <xf numFmtId="0" fontId="1" fillId="6" borderId="38" xfId="0" applyFont="1" applyFill="1" applyBorder="1" applyAlignment="1">
      <alignment horizontal="center"/>
    </xf>
    <xf numFmtId="0" fontId="3" fillId="6" borderId="15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2" fillId="6" borderId="47" xfId="0" applyFont="1" applyFill="1" applyBorder="1" applyAlignment="1">
      <alignment horizontal="center"/>
    </xf>
    <xf numFmtId="0" fontId="2" fillId="6" borderId="48" xfId="0" applyFont="1" applyFill="1" applyBorder="1" applyAlignment="1">
      <alignment horizontal="center"/>
    </xf>
    <xf numFmtId="0" fontId="3" fillId="6" borderId="49" xfId="0" applyFont="1" applyFill="1" applyBorder="1" applyAlignment="1">
      <alignment horizontal="center" vertical="center" wrapText="1"/>
    </xf>
    <xf numFmtId="0" fontId="3" fillId="6" borderId="4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3" fillId="3" borderId="62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0" fillId="3" borderId="62" xfId="0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0" fillId="3" borderId="39" xfId="0" applyFill="1" applyBorder="1" applyAlignment="1">
      <alignment horizontal="center" vertical="center" wrapText="1"/>
    </xf>
    <xf numFmtId="0" fontId="3" fillId="6" borderId="62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0" fillId="6" borderId="62" xfId="0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39" xfId="0" applyFont="1" applyFill="1" applyBorder="1" applyAlignment="1">
      <alignment horizontal="center" vertical="center" wrapText="1"/>
    </xf>
    <xf numFmtId="0" fontId="0" fillId="6" borderId="39" xfId="0" applyFill="1" applyBorder="1" applyAlignment="1">
      <alignment horizontal="center" vertical="center" wrapText="1"/>
    </xf>
    <xf numFmtId="0" fontId="13" fillId="3" borderId="0" xfId="0" applyFont="1" applyFill="1" applyAlignment="1">
      <alignment horizontal="left" vertical="center" wrapText="1"/>
    </xf>
    <xf numFmtId="0" fontId="13" fillId="6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N45"/>
  <sheetViews>
    <sheetView workbookViewId="0">
      <selection activeCell="A22" sqref="A22:N22"/>
    </sheetView>
  </sheetViews>
  <sheetFormatPr defaultRowHeight="15"/>
  <cols>
    <col min="1" max="1" width="9.140625" style="57"/>
    <col min="2" max="2" width="50.42578125" style="57" customWidth="1"/>
    <col min="3" max="3" width="10.28515625" style="57" customWidth="1"/>
    <col min="4" max="7" width="8.42578125" style="57" customWidth="1"/>
    <col min="8" max="11" width="9.28515625" style="57" customWidth="1"/>
    <col min="12" max="12" width="12.140625" style="57" customWidth="1"/>
    <col min="13" max="13" width="13.28515625" style="57" customWidth="1"/>
    <col min="14" max="14" width="13" style="57" customWidth="1"/>
    <col min="15" max="15" width="9.140625" style="57"/>
    <col min="16" max="16" width="16" style="57" customWidth="1"/>
    <col min="17" max="17" width="11.5703125" style="57" bestFit="1" customWidth="1"/>
    <col min="18" max="18" width="9.140625" style="57"/>
    <col min="19" max="19" width="12.7109375" style="57" customWidth="1"/>
    <col min="20" max="16384" width="9.140625" style="57"/>
  </cols>
  <sheetData>
    <row r="1" spans="1:14">
      <c r="A1" s="307" t="s">
        <v>321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</row>
    <row r="2" spans="1:14">
      <c r="A2" s="304"/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 t="s">
        <v>320</v>
      </c>
    </row>
    <row r="3" spans="1:14" s="55" customFormat="1" ht="18" customHeight="1">
      <c r="A3" s="376" t="s">
        <v>319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</row>
    <row r="4" spans="1:14" s="55" customFormat="1" ht="18.75" customHeight="1">
      <c r="A4" s="308" t="s">
        <v>300</v>
      </c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</row>
    <row r="5" spans="1:14" s="55" customFormat="1" ht="19.5" thickBot="1">
      <c r="A5" s="305"/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</row>
    <row r="6" spans="1:14" s="55" customFormat="1" ht="41.25" customHeight="1" thickBot="1">
      <c r="A6" s="377" t="s">
        <v>6</v>
      </c>
      <c r="B6" s="377" t="s">
        <v>301</v>
      </c>
      <c r="C6" s="377" t="s">
        <v>302</v>
      </c>
      <c r="D6" s="378" t="s">
        <v>227</v>
      </c>
      <c r="E6" s="379"/>
      <c r="F6" s="380"/>
      <c r="G6" s="381" t="s">
        <v>306</v>
      </c>
      <c r="H6" s="378" t="s">
        <v>317</v>
      </c>
      <c r="I6" s="379"/>
      <c r="J6" s="379"/>
      <c r="K6" s="380"/>
      <c r="L6" s="377" t="s">
        <v>318</v>
      </c>
      <c r="M6" s="377" t="s">
        <v>313</v>
      </c>
      <c r="N6" s="377" t="s">
        <v>314</v>
      </c>
    </row>
    <row r="7" spans="1:14" s="55" customFormat="1" ht="50.25" customHeight="1" thickBot="1">
      <c r="A7" s="382"/>
      <c r="B7" s="383"/>
      <c r="C7" s="383"/>
      <c r="D7" s="164" t="s">
        <v>303</v>
      </c>
      <c r="E7" s="165" t="s">
        <v>304</v>
      </c>
      <c r="F7" s="166" t="s">
        <v>305</v>
      </c>
      <c r="G7" s="384"/>
      <c r="H7" s="167" t="s">
        <v>307</v>
      </c>
      <c r="I7" s="165" t="s">
        <v>308</v>
      </c>
      <c r="J7" s="165" t="s">
        <v>309</v>
      </c>
      <c r="K7" s="168" t="s">
        <v>310</v>
      </c>
      <c r="L7" s="383"/>
      <c r="M7" s="383"/>
      <c r="N7" s="383"/>
    </row>
    <row r="8" spans="1:14" s="55" customFormat="1" ht="15.75" thickBot="1">
      <c r="A8" s="179"/>
      <c r="B8" s="180" t="s">
        <v>9</v>
      </c>
      <c r="C8" s="181" t="s">
        <v>10</v>
      </c>
      <c r="D8" s="182"/>
      <c r="E8" s="66"/>
      <c r="F8" s="66"/>
      <c r="G8" s="66"/>
      <c r="H8" s="66"/>
      <c r="I8" s="66"/>
      <c r="J8" s="66"/>
      <c r="K8" s="183"/>
      <c r="L8" s="108" t="s">
        <v>12</v>
      </c>
      <c r="M8" s="107" t="s">
        <v>13</v>
      </c>
      <c r="N8" s="108" t="s">
        <v>14</v>
      </c>
    </row>
    <row r="9" spans="1:14" s="55" customFormat="1" ht="39.75" customHeight="1">
      <c r="A9" s="173" t="s">
        <v>15</v>
      </c>
      <c r="B9" s="184" t="s">
        <v>322</v>
      </c>
      <c r="C9" s="172">
        <v>10</v>
      </c>
      <c r="D9" s="185">
        <v>5872265</v>
      </c>
      <c r="E9" s="81">
        <v>2424325</v>
      </c>
      <c r="F9" s="81">
        <v>3633260</v>
      </c>
      <c r="G9" s="81">
        <v>2951195</v>
      </c>
      <c r="H9" s="81">
        <f>590036*1.05</f>
        <v>619537.80000000005</v>
      </c>
      <c r="I9" s="81">
        <f>1727390*1.05</f>
        <v>1813759.5</v>
      </c>
      <c r="J9" s="81">
        <f>2469678*1.05</f>
        <v>2593161.9</v>
      </c>
      <c r="K9" s="82">
        <v>2951195</v>
      </c>
      <c r="L9" s="67"/>
      <c r="M9" s="171"/>
      <c r="N9" s="186"/>
    </row>
    <row r="10" spans="1:14" s="55" customFormat="1" ht="26.25" customHeight="1">
      <c r="A10" s="173" t="s">
        <v>17</v>
      </c>
      <c r="B10" s="79" t="s">
        <v>323</v>
      </c>
      <c r="C10" s="77">
        <v>10</v>
      </c>
      <c r="D10" s="187">
        <v>8.4000000000000005E-2</v>
      </c>
      <c r="E10" s="39">
        <v>0.13</v>
      </c>
      <c r="F10" s="39">
        <v>0.11799999999999999</v>
      </c>
      <c r="G10" s="39">
        <v>8.2000000000000003E-2</v>
      </c>
      <c r="H10" s="39">
        <v>9.7000000000000003E-2</v>
      </c>
      <c r="I10" s="39">
        <v>8.3000000000000004E-2</v>
      </c>
      <c r="J10" s="39">
        <v>8.2000000000000003E-2</v>
      </c>
      <c r="K10" s="74">
        <v>8.2000000000000003E-2</v>
      </c>
      <c r="L10" s="174"/>
      <c r="M10" s="58"/>
      <c r="N10" s="74"/>
    </row>
    <row r="11" spans="1:14" s="55" customFormat="1" ht="32.25" customHeight="1">
      <c r="A11" s="173" t="s">
        <v>19</v>
      </c>
      <c r="B11" s="79" t="s">
        <v>324</v>
      </c>
      <c r="C11" s="77">
        <v>10</v>
      </c>
      <c r="D11" s="188">
        <v>0.26</v>
      </c>
      <c r="E11" s="58">
        <v>0.14000000000000001</v>
      </c>
      <c r="F11" s="58">
        <v>0.15</v>
      </c>
      <c r="G11" s="58">
        <v>0.08</v>
      </c>
      <c r="H11" s="58">
        <v>0.02</v>
      </c>
      <c r="I11" s="58">
        <v>0.04</v>
      </c>
      <c r="J11" s="58">
        <v>0.06</v>
      </c>
      <c r="K11" s="74">
        <v>0.08</v>
      </c>
      <c r="L11" s="174"/>
      <c r="M11" s="58"/>
      <c r="N11" s="74"/>
    </row>
    <row r="12" spans="1:14" s="55" customFormat="1" ht="27.75" customHeight="1">
      <c r="A12" s="173" t="s">
        <v>21</v>
      </c>
      <c r="B12" s="79" t="s">
        <v>325</v>
      </c>
      <c r="C12" s="77">
        <v>10</v>
      </c>
      <c r="D12" s="189">
        <v>2.48</v>
      </c>
      <c r="E12" s="53">
        <v>1.78</v>
      </c>
      <c r="F12" s="53">
        <v>1.91</v>
      </c>
      <c r="G12" s="53">
        <v>1.5</v>
      </c>
      <c r="H12" s="61">
        <v>0.18</v>
      </c>
      <c r="I12" s="53">
        <v>0.35</v>
      </c>
      <c r="J12" s="53">
        <v>0.53</v>
      </c>
      <c r="K12" s="83">
        <v>1.5</v>
      </c>
      <c r="L12" s="174"/>
      <c r="M12" s="58"/>
      <c r="N12" s="74"/>
    </row>
    <row r="13" spans="1:14" s="55" customFormat="1" ht="32.25" customHeight="1">
      <c r="A13" s="173" t="s">
        <v>23</v>
      </c>
      <c r="B13" s="79" t="s">
        <v>326</v>
      </c>
      <c r="C13" s="77">
        <v>10</v>
      </c>
      <c r="D13" s="188">
        <v>1.24</v>
      </c>
      <c r="E13" s="58">
        <v>1.24</v>
      </c>
      <c r="F13" s="58">
        <v>0</v>
      </c>
      <c r="G13" s="58">
        <v>0.16</v>
      </c>
      <c r="H13" s="58">
        <v>0</v>
      </c>
      <c r="I13" s="58">
        <v>0</v>
      </c>
      <c r="J13" s="58">
        <v>0</v>
      </c>
      <c r="K13" s="74">
        <v>0.16</v>
      </c>
      <c r="L13" s="174"/>
      <c r="M13" s="58"/>
      <c r="N13" s="74"/>
    </row>
    <row r="14" spans="1:14" s="55" customFormat="1" ht="18.75" customHeight="1">
      <c r="A14" s="173" t="s">
        <v>25</v>
      </c>
      <c r="B14" s="79" t="s">
        <v>327</v>
      </c>
      <c r="C14" s="77">
        <v>5</v>
      </c>
      <c r="D14" s="188">
        <v>0.03</v>
      </c>
      <c r="E14" s="58">
        <v>0.02</v>
      </c>
      <c r="F14" s="58">
        <v>0.03</v>
      </c>
      <c r="G14" s="58">
        <v>8.9999999999999993E-3</v>
      </c>
      <c r="H14" s="58">
        <v>3.0000000000000001E-3</v>
      </c>
      <c r="I14" s="58">
        <v>5.0000000000000001E-3</v>
      </c>
      <c r="J14" s="58">
        <v>7.0000000000000001E-3</v>
      </c>
      <c r="K14" s="74">
        <v>8.9999999999999993E-3</v>
      </c>
      <c r="L14" s="174"/>
      <c r="M14" s="58"/>
      <c r="N14" s="74"/>
    </row>
    <row r="15" spans="1:14" s="55" customFormat="1" ht="18.75" customHeight="1">
      <c r="A15" s="173" t="s">
        <v>27</v>
      </c>
      <c r="B15" s="79" t="s">
        <v>328</v>
      </c>
      <c r="C15" s="77">
        <v>5</v>
      </c>
      <c r="D15" s="190">
        <v>0.03</v>
      </c>
      <c r="E15" s="63">
        <v>0.02</v>
      </c>
      <c r="F15" s="63">
        <v>5.0000000000000001E-3</v>
      </c>
      <c r="G15" s="63">
        <v>1.0999999999999999E-2</v>
      </c>
      <c r="H15" s="63">
        <v>1.7000000000000001E-2</v>
      </c>
      <c r="I15" s="63">
        <v>1.4999999999999999E-2</v>
      </c>
      <c r="J15" s="63">
        <v>1.2999999999999999E-2</v>
      </c>
      <c r="K15" s="84">
        <v>1.0999999999999999E-2</v>
      </c>
      <c r="L15" s="174"/>
      <c r="M15" s="58"/>
      <c r="N15" s="74"/>
    </row>
    <row r="16" spans="1:14" s="55" customFormat="1" ht="18.75" customHeight="1">
      <c r="A16" s="173" t="s">
        <v>29</v>
      </c>
      <c r="B16" s="79" t="s">
        <v>329</v>
      </c>
      <c r="C16" s="77">
        <v>5</v>
      </c>
      <c r="D16" s="188">
        <v>0.13</v>
      </c>
      <c r="E16" s="53">
        <v>0.12</v>
      </c>
      <c r="F16" s="58">
        <v>0.1</v>
      </c>
      <c r="G16" s="58">
        <v>0.06</v>
      </c>
      <c r="H16" s="58">
        <v>0.12</v>
      </c>
      <c r="I16" s="53">
        <v>0.1</v>
      </c>
      <c r="J16" s="58">
        <v>0.08</v>
      </c>
      <c r="K16" s="74">
        <v>0.06</v>
      </c>
      <c r="L16" s="174"/>
      <c r="M16" s="58"/>
      <c r="N16" s="74"/>
    </row>
    <row r="17" spans="1:14" s="55" customFormat="1" ht="18.75" customHeight="1">
      <c r="A17" s="173" t="s">
        <v>31</v>
      </c>
      <c r="B17" s="79" t="s">
        <v>330</v>
      </c>
      <c r="C17" s="77">
        <v>10</v>
      </c>
      <c r="D17" s="188">
        <v>37.6</v>
      </c>
      <c r="E17" s="58">
        <v>104.3</v>
      </c>
      <c r="F17" s="61">
        <v>86</v>
      </c>
      <c r="G17" s="61">
        <v>60</v>
      </c>
      <c r="H17" s="58">
        <v>190.8</v>
      </c>
      <c r="I17" s="58">
        <v>120.3</v>
      </c>
      <c r="J17" s="61">
        <v>69</v>
      </c>
      <c r="K17" s="75">
        <v>60</v>
      </c>
      <c r="L17" s="174"/>
      <c r="M17" s="58"/>
      <c r="N17" s="74"/>
    </row>
    <row r="18" spans="1:14" s="55" customFormat="1" ht="18.75" customHeight="1">
      <c r="A18" s="173" t="s">
        <v>33</v>
      </c>
      <c r="B18" s="79" t="s">
        <v>331</v>
      </c>
      <c r="C18" s="77">
        <v>10</v>
      </c>
      <c r="D18" s="188">
        <v>15.7</v>
      </c>
      <c r="E18" s="58">
        <v>38.799999999999997</v>
      </c>
      <c r="F18" s="58">
        <v>21.7</v>
      </c>
      <c r="G18" s="58">
        <v>7.8</v>
      </c>
      <c r="H18" s="58">
        <v>75.8</v>
      </c>
      <c r="I18" s="58">
        <v>32.299999999999997</v>
      </c>
      <c r="J18" s="58">
        <v>10.4</v>
      </c>
      <c r="K18" s="74">
        <v>7.8</v>
      </c>
      <c r="L18" s="174"/>
      <c r="M18" s="58"/>
      <c r="N18" s="74"/>
    </row>
    <row r="19" spans="1:14" s="55" customFormat="1" ht="18.75" customHeight="1">
      <c r="A19" s="173" t="s">
        <v>35</v>
      </c>
      <c r="B19" s="79" t="s">
        <v>332</v>
      </c>
      <c r="C19" s="77">
        <v>5</v>
      </c>
      <c r="D19" s="188">
        <v>1</v>
      </c>
      <c r="E19" s="58">
        <v>0.95</v>
      </c>
      <c r="F19" s="58">
        <v>0.96</v>
      </c>
      <c r="G19" s="58">
        <v>1.01</v>
      </c>
      <c r="H19" s="58">
        <v>1.1200000000000001</v>
      </c>
      <c r="I19" s="58">
        <v>1.1100000000000001</v>
      </c>
      <c r="J19" s="58">
        <v>1.02</v>
      </c>
      <c r="K19" s="74">
        <v>1.01</v>
      </c>
      <c r="L19" s="174"/>
      <c r="M19" s="58"/>
      <c r="N19" s="74"/>
    </row>
    <row r="20" spans="1:14" s="55" customFormat="1" ht="18.75" customHeight="1" thickBot="1">
      <c r="A20" s="176" t="s">
        <v>37</v>
      </c>
      <c r="B20" s="80" t="s">
        <v>333</v>
      </c>
      <c r="C20" s="78">
        <v>10</v>
      </c>
      <c r="D20" s="191">
        <v>0</v>
      </c>
      <c r="E20" s="76">
        <v>0</v>
      </c>
      <c r="F20" s="76">
        <v>0</v>
      </c>
      <c r="G20" s="163">
        <v>0.3</v>
      </c>
      <c r="H20" s="76">
        <v>0.16</v>
      </c>
      <c r="I20" s="76">
        <v>0.16</v>
      </c>
      <c r="J20" s="76">
        <v>0.16</v>
      </c>
      <c r="K20" s="85">
        <v>0.3</v>
      </c>
      <c r="L20" s="192"/>
      <c r="M20" s="76"/>
      <c r="N20" s="193"/>
    </row>
    <row r="21" spans="1:14" s="55" customFormat="1" ht="32.25" customHeight="1" thickBot="1">
      <c r="A21" s="309" t="s">
        <v>335</v>
      </c>
      <c r="B21" s="310"/>
      <c r="C21" s="108">
        <v>100</v>
      </c>
      <c r="D21" s="182"/>
      <c r="E21" s="66"/>
      <c r="F21" s="66"/>
      <c r="G21" s="66"/>
      <c r="H21" s="66"/>
      <c r="I21" s="66"/>
      <c r="J21" s="66"/>
      <c r="K21" s="183"/>
      <c r="L21" s="194"/>
      <c r="M21" s="195"/>
      <c r="N21" s="194"/>
    </row>
    <row r="22" spans="1:14" s="55" customFormat="1" ht="47.25" customHeight="1">
      <c r="A22" s="393" t="s">
        <v>334</v>
      </c>
      <c r="B22" s="393"/>
      <c r="C22" s="393"/>
      <c r="D22" s="393"/>
      <c r="E22" s="393"/>
      <c r="F22" s="393"/>
      <c r="G22" s="393"/>
      <c r="H22" s="393"/>
      <c r="I22" s="393"/>
      <c r="J22" s="393"/>
      <c r="K22" s="393"/>
      <c r="L22" s="393"/>
      <c r="M22" s="393"/>
      <c r="N22" s="393"/>
    </row>
    <row r="23" spans="1:14" s="55" customFormat="1" ht="30.75" customHeight="1">
      <c r="A23" s="314" t="s">
        <v>321</v>
      </c>
      <c r="B23" s="314"/>
      <c r="C23" s="314"/>
      <c r="D23" s="314"/>
      <c r="E23" s="314"/>
      <c r="F23" s="314"/>
      <c r="G23" s="314"/>
      <c r="H23" s="314"/>
      <c r="I23" s="314"/>
      <c r="J23" s="314"/>
      <c r="K23" s="314"/>
      <c r="L23" s="314"/>
      <c r="M23" s="314"/>
      <c r="N23" s="314"/>
    </row>
    <row r="24" spans="1:14" s="221" customFormat="1">
      <c r="A24" s="301"/>
      <c r="B24" s="301"/>
      <c r="C24" s="301"/>
      <c r="D24" s="301"/>
      <c r="E24" s="301"/>
      <c r="F24" s="301"/>
      <c r="G24" s="301"/>
      <c r="H24" s="301"/>
      <c r="I24" s="301"/>
      <c r="J24" s="301"/>
      <c r="K24" s="301"/>
      <c r="L24" s="301"/>
      <c r="M24" s="301"/>
      <c r="N24" s="301" t="s">
        <v>320</v>
      </c>
    </row>
    <row r="25" spans="1:14" s="269" customFormat="1" ht="18" customHeight="1">
      <c r="A25" s="368" t="s">
        <v>319</v>
      </c>
      <c r="B25" s="368"/>
      <c r="C25" s="368"/>
      <c r="D25" s="368"/>
      <c r="E25" s="368"/>
      <c r="F25" s="368"/>
      <c r="G25" s="368"/>
      <c r="H25" s="368"/>
      <c r="I25" s="368"/>
      <c r="J25" s="368"/>
      <c r="K25" s="368"/>
      <c r="L25" s="368"/>
      <c r="M25" s="368"/>
      <c r="N25" s="368"/>
    </row>
    <row r="26" spans="1:14" s="269" customFormat="1" ht="18.75" customHeight="1">
      <c r="A26" s="315" t="s">
        <v>300</v>
      </c>
      <c r="B26" s="315"/>
      <c r="C26" s="315"/>
      <c r="D26" s="315"/>
      <c r="E26" s="315"/>
      <c r="F26" s="315"/>
      <c r="G26" s="315"/>
      <c r="H26" s="315"/>
      <c r="I26" s="315"/>
      <c r="J26" s="315"/>
      <c r="K26" s="315"/>
      <c r="L26" s="315"/>
      <c r="M26" s="315"/>
      <c r="N26" s="315"/>
    </row>
    <row r="27" spans="1:14" s="269" customFormat="1" ht="19.5" thickBot="1">
      <c r="A27" s="302"/>
      <c r="B27" s="302"/>
      <c r="C27" s="302"/>
      <c r="D27" s="302"/>
      <c r="E27" s="302"/>
      <c r="F27" s="302"/>
      <c r="G27" s="302"/>
      <c r="H27" s="302"/>
      <c r="I27" s="302"/>
      <c r="J27" s="302"/>
      <c r="K27" s="302"/>
      <c r="L27" s="302"/>
      <c r="M27" s="302"/>
      <c r="N27" s="302"/>
    </row>
    <row r="28" spans="1:14" s="269" customFormat="1" ht="41.25" customHeight="1" thickBot="1">
      <c r="A28" s="385" t="s">
        <v>6</v>
      </c>
      <c r="B28" s="385" t="s">
        <v>301</v>
      </c>
      <c r="C28" s="385" t="s">
        <v>302</v>
      </c>
      <c r="D28" s="386" t="s">
        <v>227</v>
      </c>
      <c r="E28" s="387"/>
      <c r="F28" s="388"/>
      <c r="G28" s="389" t="s">
        <v>306</v>
      </c>
      <c r="H28" s="386" t="s">
        <v>317</v>
      </c>
      <c r="I28" s="387"/>
      <c r="J28" s="387"/>
      <c r="K28" s="388"/>
      <c r="L28" s="385" t="s">
        <v>318</v>
      </c>
      <c r="M28" s="385" t="s">
        <v>313</v>
      </c>
      <c r="N28" s="385" t="s">
        <v>314</v>
      </c>
    </row>
    <row r="29" spans="1:14" s="269" customFormat="1" ht="50.25" customHeight="1" thickBot="1">
      <c r="A29" s="390"/>
      <c r="B29" s="391"/>
      <c r="C29" s="391"/>
      <c r="D29" s="222" t="s">
        <v>303</v>
      </c>
      <c r="E29" s="223" t="s">
        <v>304</v>
      </c>
      <c r="F29" s="224" t="s">
        <v>305</v>
      </c>
      <c r="G29" s="392"/>
      <c r="H29" s="225" t="s">
        <v>307</v>
      </c>
      <c r="I29" s="223" t="s">
        <v>308</v>
      </c>
      <c r="J29" s="223" t="s">
        <v>309</v>
      </c>
      <c r="K29" s="226" t="s">
        <v>310</v>
      </c>
      <c r="L29" s="391"/>
      <c r="M29" s="391"/>
      <c r="N29" s="391"/>
    </row>
    <row r="30" spans="1:14" s="269" customFormat="1" ht="15.75" thickBot="1">
      <c r="A30" s="303"/>
      <c r="B30" s="270" t="s">
        <v>9</v>
      </c>
      <c r="C30" s="271" t="s">
        <v>10</v>
      </c>
      <c r="D30" s="272"/>
      <c r="E30" s="273"/>
      <c r="F30" s="273"/>
      <c r="G30" s="273"/>
      <c r="H30" s="273"/>
      <c r="I30" s="273"/>
      <c r="J30" s="273"/>
      <c r="K30" s="274"/>
      <c r="L30" s="227" t="s">
        <v>12</v>
      </c>
      <c r="M30" s="300" t="s">
        <v>13</v>
      </c>
      <c r="N30" s="227" t="s">
        <v>14</v>
      </c>
    </row>
    <row r="31" spans="1:14" s="269" customFormat="1" ht="39.75" customHeight="1">
      <c r="A31" s="243" t="s">
        <v>15</v>
      </c>
      <c r="B31" s="275" t="s">
        <v>322</v>
      </c>
      <c r="C31" s="242">
        <v>10</v>
      </c>
      <c r="D31" s="276">
        <v>6340131</v>
      </c>
      <c r="E31" s="277">
        <v>1333727</v>
      </c>
      <c r="F31" s="277">
        <v>22005456</v>
      </c>
      <c r="G31" s="277">
        <v>3098755</v>
      </c>
      <c r="H31" s="277">
        <v>4345522</v>
      </c>
      <c r="I31" s="277">
        <v>8691043</v>
      </c>
      <c r="J31" s="277">
        <v>13036565</v>
      </c>
      <c r="K31" s="278">
        <v>17382087</v>
      </c>
      <c r="L31" s="237"/>
      <c r="M31" s="240"/>
      <c r="N31" s="279"/>
    </row>
    <row r="32" spans="1:14" s="269" customFormat="1" ht="26.25" customHeight="1">
      <c r="A32" s="243" t="s">
        <v>17</v>
      </c>
      <c r="B32" s="280" t="s">
        <v>323</v>
      </c>
      <c r="C32" s="249">
        <v>10</v>
      </c>
      <c r="D32" s="281">
        <v>2.5999999999999999E-2</v>
      </c>
      <c r="E32" s="248">
        <v>0.49</v>
      </c>
      <c r="F32" s="248">
        <v>3.6999999999999998E-2</v>
      </c>
      <c r="G32" s="248">
        <v>8.2000000000000003E-2</v>
      </c>
      <c r="H32" s="248">
        <v>0.04</v>
      </c>
      <c r="I32" s="248">
        <v>0.69</v>
      </c>
      <c r="J32" s="248">
        <v>0.05</v>
      </c>
      <c r="K32" s="282">
        <v>5.3999999999999999E-2</v>
      </c>
      <c r="L32" s="245"/>
      <c r="M32" s="247"/>
      <c r="N32" s="282"/>
    </row>
    <row r="33" spans="1:14" s="269" customFormat="1" ht="32.25" customHeight="1">
      <c r="A33" s="243" t="s">
        <v>19</v>
      </c>
      <c r="B33" s="280" t="s">
        <v>324</v>
      </c>
      <c r="C33" s="249">
        <v>10</v>
      </c>
      <c r="D33" s="283">
        <v>0.2</v>
      </c>
      <c r="E33" s="247">
        <v>0.39</v>
      </c>
      <c r="F33" s="247">
        <v>0.57999999999999996</v>
      </c>
      <c r="G33" s="247">
        <v>0.08</v>
      </c>
      <c r="H33" s="247">
        <v>0.1</v>
      </c>
      <c r="I33" s="247">
        <v>0.2</v>
      </c>
      <c r="J33" s="247">
        <v>0.28999999999999998</v>
      </c>
      <c r="K33" s="282">
        <v>0.36</v>
      </c>
      <c r="L33" s="245"/>
      <c r="M33" s="247"/>
      <c r="N33" s="282"/>
    </row>
    <row r="34" spans="1:14" s="269" customFormat="1" ht="27.75" customHeight="1">
      <c r="A34" s="243" t="s">
        <v>21</v>
      </c>
      <c r="B34" s="280" t="s">
        <v>325</v>
      </c>
      <c r="C34" s="249">
        <v>10</v>
      </c>
      <c r="D34" s="284">
        <v>0.2</v>
      </c>
      <c r="E34" s="285">
        <v>0.39</v>
      </c>
      <c r="F34" s="285">
        <v>0.87</v>
      </c>
      <c r="G34" s="285">
        <v>0.7</v>
      </c>
      <c r="H34" s="284">
        <v>0.2</v>
      </c>
      <c r="I34" s="285">
        <v>0.39</v>
      </c>
      <c r="J34" s="285">
        <v>0.87</v>
      </c>
      <c r="K34" s="285">
        <v>0.7</v>
      </c>
      <c r="L34" s="245"/>
      <c r="M34" s="247"/>
      <c r="N34" s="282"/>
    </row>
    <row r="35" spans="1:14" s="269" customFormat="1" ht="32.25" customHeight="1">
      <c r="A35" s="243" t="s">
        <v>23</v>
      </c>
      <c r="B35" s="280" t="s">
        <v>326</v>
      </c>
      <c r="C35" s="249">
        <v>10</v>
      </c>
      <c r="D35" s="283">
        <v>0</v>
      </c>
      <c r="E35" s="247">
        <v>0</v>
      </c>
      <c r="F35" s="247">
        <v>0</v>
      </c>
      <c r="G35" s="247">
        <v>0.16</v>
      </c>
      <c r="H35" s="247">
        <v>0</v>
      </c>
      <c r="I35" s="247">
        <v>0</v>
      </c>
      <c r="J35" s="247">
        <v>0</v>
      </c>
      <c r="K35" s="282">
        <v>0.16</v>
      </c>
      <c r="L35" s="245"/>
      <c r="M35" s="247"/>
      <c r="N35" s="282"/>
    </row>
    <row r="36" spans="1:14" s="269" customFormat="1" ht="18.75" customHeight="1">
      <c r="A36" s="243" t="s">
        <v>25</v>
      </c>
      <c r="B36" s="280" t="s">
        <v>327</v>
      </c>
      <c r="C36" s="249">
        <v>5</v>
      </c>
      <c r="D36" s="283">
        <v>5.8999999999999997E-2</v>
      </c>
      <c r="E36" s="247">
        <v>8.5999999999999993E-2</v>
      </c>
      <c r="F36" s="247">
        <v>0.13300000000000001</v>
      </c>
      <c r="G36" s="247">
        <v>8.9999999999999993E-3</v>
      </c>
      <c r="H36" s="247">
        <v>0.03</v>
      </c>
      <c r="I36" s="247">
        <v>0.45</v>
      </c>
      <c r="J36" s="247">
        <v>7.0999999999999994E-2</v>
      </c>
      <c r="K36" s="282">
        <v>9.5000000000000001E-2</v>
      </c>
      <c r="L36" s="245"/>
      <c r="M36" s="247"/>
      <c r="N36" s="282"/>
    </row>
    <row r="37" spans="1:14" s="269" customFormat="1" ht="18.75" customHeight="1">
      <c r="A37" s="243" t="s">
        <v>27</v>
      </c>
      <c r="B37" s="280" t="s">
        <v>328</v>
      </c>
      <c r="C37" s="249">
        <v>5</v>
      </c>
      <c r="D37" s="286">
        <v>5.0000000000000001E-3</v>
      </c>
      <c r="E37" s="287">
        <v>0.16500000000000001</v>
      </c>
      <c r="F37" s="287">
        <v>3.2000000000000001E-2</v>
      </c>
      <c r="G37" s="287">
        <v>1.0999999999999999E-2</v>
      </c>
      <c r="H37" s="286">
        <v>5.0000000000000001E-3</v>
      </c>
      <c r="I37" s="287">
        <v>0.16500000000000001</v>
      </c>
      <c r="J37" s="287">
        <v>3.2000000000000001E-2</v>
      </c>
      <c r="K37" s="287">
        <v>3.2000000000000001E-2</v>
      </c>
      <c r="L37" s="245"/>
      <c r="M37" s="247"/>
      <c r="N37" s="282"/>
    </row>
    <row r="38" spans="1:14" s="269" customFormat="1" ht="18.75" customHeight="1">
      <c r="A38" s="243" t="s">
        <v>29</v>
      </c>
      <c r="B38" s="280" t="s">
        <v>329</v>
      </c>
      <c r="C38" s="249">
        <v>5</v>
      </c>
      <c r="D38" s="283">
        <v>0.38</v>
      </c>
      <c r="E38" s="285">
        <v>2.02</v>
      </c>
      <c r="F38" s="247">
        <v>0.32</v>
      </c>
      <c r="G38" s="247">
        <v>0.06</v>
      </c>
      <c r="H38" s="283">
        <v>0.25</v>
      </c>
      <c r="I38" s="285">
        <v>1.35</v>
      </c>
      <c r="J38" s="247">
        <v>0.21</v>
      </c>
      <c r="K38" s="247">
        <v>0.18</v>
      </c>
      <c r="L38" s="245"/>
      <c r="M38" s="247"/>
      <c r="N38" s="282"/>
    </row>
    <row r="39" spans="1:14" s="269" customFormat="1" ht="18.75" customHeight="1">
      <c r="A39" s="243" t="s">
        <v>31</v>
      </c>
      <c r="B39" s="280" t="s">
        <v>330</v>
      </c>
      <c r="C39" s="249">
        <v>10</v>
      </c>
      <c r="D39" s="283">
        <v>25.5</v>
      </c>
      <c r="E39" s="247">
        <v>58.1</v>
      </c>
      <c r="F39" s="268">
        <v>18</v>
      </c>
      <c r="G39" s="268">
        <v>60</v>
      </c>
      <c r="H39" s="283">
        <v>30.6</v>
      </c>
      <c r="I39" s="247">
        <v>69.7</v>
      </c>
      <c r="J39" s="268">
        <v>22</v>
      </c>
      <c r="K39" s="268">
        <v>30.1</v>
      </c>
      <c r="L39" s="245"/>
      <c r="M39" s="247"/>
      <c r="N39" s="282"/>
    </row>
    <row r="40" spans="1:14" s="269" customFormat="1" ht="18.75" customHeight="1">
      <c r="A40" s="243" t="s">
        <v>33</v>
      </c>
      <c r="B40" s="280" t="s">
        <v>331</v>
      </c>
      <c r="C40" s="249">
        <v>10</v>
      </c>
      <c r="D40" s="283">
        <v>40.299999999999997</v>
      </c>
      <c r="E40" s="247">
        <v>9</v>
      </c>
      <c r="F40" s="247">
        <v>8.6</v>
      </c>
      <c r="G40" s="247">
        <v>7.8</v>
      </c>
      <c r="H40" s="283">
        <v>40.299999999999997</v>
      </c>
      <c r="I40" s="247">
        <v>9</v>
      </c>
      <c r="J40" s="247">
        <v>8.6</v>
      </c>
      <c r="K40" s="247">
        <v>8.1999999999999993</v>
      </c>
      <c r="L40" s="245"/>
      <c r="M40" s="247"/>
      <c r="N40" s="282"/>
    </row>
    <row r="41" spans="1:14" s="269" customFormat="1" ht="18.75" customHeight="1">
      <c r="A41" s="243" t="s">
        <v>35</v>
      </c>
      <c r="B41" s="280" t="s">
        <v>332</v>
      </c>
      <c r="C41" s="249">
        <v>5</v>
      </c>
      <c r="D41" s="283">
        <v>1.03</v>
      </c>
      <c r="E41" s="247">
        <v>1.05</v>
      </c>
      <c r="F41" s="247">
        <v>1.17</v>
      </c>
      <c r="G41" s="247">
        <v>1.01</v>
      </c>
      <c r="H41" s="283">
        <v>1.01</v>
      </c>
      <c r="I41" s="247">
        <v>1.03</v>
      </c>
      <c r="J41" s="247">
        <v>1.1499999999999999</v>
      </c>
      <c r="K41" s="247">
        <v>1.17</v>
      </c>
      <c r="L41" s="245"/>
      <c r="M41" s="247"/>
      <c r="N41" s="282"/>
    </row>
    <row r="42" spans="1:14" s="269" customFormat="1" ht="18.75" customHeight="1" thickBot="1">
      <c r="A42" s="254" t="s">
        <v>37</v>
      </c>
      <c r="B42" s="288" t="s">
        <v>333</v>
      </c>
      <c r="C42" s="259">
        <v>10</v>
      </c>
      <c r="D42" s="289">
        <v>0.59</v>
      </c>
      <c r="E42" s="290">
        <v>0.27</v>
      </c>
      <c r="F42" s="290">
        <v>0.17</v>
      </c>
      <c r="G42" s="291">
        <v>0.3</v>
      </c>
      <c r="H42" s="289">
        <v>0.59</v>
      </c>
      <c r="I42" s="290">
        <v>0.27</v>
      </c>
      <c r="J42" s="290">
        <v>0.17</v>
      </c>
      <c r="K42" s="290">
        <v>7.0000000000000007E-2</v>
      </c>
      <c r="L42" s="292"/>
      <c r="M42" s="290"/>
      <c r="N42" s="293"/>
    </row>
    <row r="43" spans="1:14" s="269" customFormat="1" ht="32.25" customHeight="1" thickBot="1">
      <c r="A43" s="311" t="s">
        <v>335</v>
      </c>
      <c r="B43" s="312"/>
      <c r="C43" s="227">
        <v>100</v>
      </c>
      <c r="D43" s="295"/>
      <c r="E43" s="295"/>
      <c r="F43" s="295"/>
      <c r="G43" s="272"/>
      <c r="H43" s="273"/>
      <c r="I43" s="273"/>
      <c r="J43" s="273"/>
      <c r="K43" s="273"/>
      <c r="L43" s="296"/>
      <c r="M43" s="297"/>
      <c r="N43" s="296"/>
    </row>
    <row r="44" spans="1:14" s="269" customFormat="1" ht="47.25" customHeight="1">
      <c r="A44" s="394" t="s">
        <v>334</v>
      </c>
      <c r="B44" s="394"/>
      <c r="C44" s="394"/>
      <c r="D44" s="394"/>
      <c r="E44" s="394"/>
      <c r="F44" s="394"/>
      <c r="G44" s="394"/>
      <c r="H44" s="394"/>
      <c r="I44" s="394"/>
      <c r="J44" s="394"/>
      <c r="K44" s="394"/>
      <c r="L44" s="394"/>
      <c r="M44" s="394"/>
      <c r="N44" s="394"/>
    </row>
    <row r="45" spans="1:14" s="269" customFormat="1" ht="30.75" customHeight="1">
      <c r="A45" s="313"/>
      <c r="B45" s="313"/>
      <c r="C45" s="313"/>
      <c r="D45" s="313"/>
      <c r="E45" s="313"/>
      <c r="F45" s="313"/>
      <c r="G45" s="313"/>
      <c r="H45" s="313"/>
      <c r="I45" s="313"/>
      <c r="J45" s="313"/>
      <c r="K45" s="313"/>
      <c r="L45" s="313"/>
      <c r="M45" s="313"/>
      <c r="N45" s="313"/>
    </row>
  </sheetData>
  <mergeCells count="29">
    <mergeCell ref="A43:B43"/>
    <mergeCell ref="A44:N44"/>
    <mergeCell ref="A45:N45"/>
    <mergeCell ref="A25:N25"/>
    <mergeCell ref="A26:N26"/>
    <mergeCell ref="A28:A29"/>
    <mergeCell ref="B28:B29"/>
    <mergeCell ref="C28:C29"/>
    <mergeCell ref="D28:F28"/>
    <mergeCell ref="G28:G29"/>
    <mergeCell ref="H28:K28"/>
    <mergeCell ref="L28:L29"/>
    <mergeCell ref="M28:M29"/>
    <mergeCell ref="N28:N29"/>
    <mergeCell ref="A1:N1"/>
    <mergeCell ref="A3:N3"/>
    <mergeCell ref="A4:N4"/>
    <mergeCell ref="H6:K6"/>
    <mergeCell ref="A21:B21"/>
    <mergeCell ref="A22:N22"/>
    <mergeCell ref="A23:N23"/>
    <mergeCell ref="L6:L7"/>
    <mergeCell ref="M6:M7"/>
    <mergeCell ref="N6:N7"/>
    <mergeCell ref="C6:C7"/>
    <mergeCell ref="B6:B7"/>
    <mergeCell ref="A6:A7"/>
    <mergeCell ref="D6:F6"/>
    <mergeCell ref="G6:G7"/>
  </mergeCells>
  <pageMargins left="0.70866141732283472" right="0.70866141732283472" top="0.74803149606299213" bottom="0.74803149606299213" header="0.31496062992125984" footer="0.31496062992125984"/>
  <pageSetup paperSize="9" scale="8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O44"/>
  <sheetViews>
    <sheetView tabSelected="1" topLeftCell="A22" workbookViewId="0">
      <selection activeCell="B34" sqref="B34"/>
    </sheetView>
  </sheetViews>
  <sheetFormatPr defaultRowHeight="15"/>
  <cols>
    <col min="1" max="1" width="9.140625" style="57"/>
    <col min="2" max="2" width="44.5703125" style="57" customWidth="1"/>
    <col min="3" max="3" width="10.5703125" style="57" customWidth="1"/>
    <col min="4" max="5" width="7.7109375" style="57" customWidth="1"/>
    <col min="6" max="6" width="8.7109375" style="57" customWidth="1"/>
    <col min="7" max="11" width="7.7109375" style="57" customWidth="1"/>
    <col min="12" max="14" width="11.5703125" style="57" customWidth="1"/>
    <col min="15" max="15" width="16" style="57" customWidth="1"/>
    <col min="16" max="16384" width="9.140625" style="57"/>
  </cols>
  <sheetData>
    <row r="1" spans="1:15">
      <c r="A1" s="367" t="s">
        <v>298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>
      <c r="A2" s="314" t="s">
        <v>316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</row>
    <row r="3" spans="1:15" ht="18.75">
      <c r="A3" s="368" t="s">
        <v>299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</row>
    <row r="4" spans="1:15" ht="19.5" thickBot="1">
      <c r="A4" s="369" t="s">
        <v>300</v>
      </c>
      <c r="B4" s="369"/>
      <c r="C4" s="369"/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369"/>
      <c r="O4" s="369"/>
    </row>
    <row r="5" spans="1:15" s="221" customFormat="1" ht="40.5" customHeight="1" thickBot="1">
      <c r="A5" s="372" t="s">
        <v>234</v>
      </c>
      <c r="B5" s="316" t="s">
        <v>301</v>
      </c>
      <c r="C5" s="317" t="s">
        <v>302</v>
      </c>
      <c r="D5" s="320" t="s">
        <v>227</v>
      </c>
      <c r="E5" s="321"/>
      <c r="F5" s="322"/>
      <c r="G5" s="323" t="s">
        <v>306</v>
      </c>
      <c r="H5" s="325" t="s">
        <v>311</v>
      </c>
      <c r="I5" s="321"/>
      <c r="J5" s="321"/>
      <c r="K5" s="326"/>
      <c r="L5" s="374" t="s">
        <v>311</v>
      </c>
      <c r="M5" s="317" t="s">
        <v>312</v>
      </c>
      <c r="N5" s="316" t="s">
        <v>313</v>
      </c>
      <c r="O5" s="374" t="s">
        <v>314</v>
      </c>
    </row>
    <row r="6" spans="1:15" s="221" customFormat="1" ht="39" customHeight="1" thickBot="1">
      <c r="A6" s="373"/>
      <c r="B6" s="319"/>
      <c r="C6" s="318"/>
      <c r="D6" s="222" t="s">
        <v>303</v>
      </c>
      <c r="E6" s="223" t="s">
        <v>304</v>
      </c>
      <c r="F6" s="224" t="s">
        <v>305</v>
      </c>
      <c r="G6" s="324"/>
      <c r="H6" s="225" t="s">
        <v>307</v>
      </c>
      <c r="I6" s="223" t="s">
        <v>308</v>
      </c>
      <c r="J6" s="223" t="s">
        <v>309</v>
      </c>
      <c r="K6" s="226" t="s">
        <v>310</v>
      </c>
      <c r="L6" s="375"/>
      <c r="M6" s="318"/>
      <c r="N6" s="319"/>
      <c r="O6" s="375"/>
    </row>
    <row r="7" spans="1:15" ht="18" customHeight="1" thickBot="1">
      <c r="A7" s="227"/>
      <c r="B7" s="228" t="s">
        <v>9</v>
      </c>
      <c r="C7" s="229" t="s">
        <v>10</v>
      </c>
      <c r="D7" s="230"/>
      <c r="E7" s="230"/>
      <c r="F7" s="231"/>
      <c r="G7" s="232"/>
      <c r="H7" s="233"/>
      <c r="I7" s="230"/>
      <c r="J7" s="230"/>
      <c r="K7" s="234"/>
      <c r="L7" s="228" t="s">
        <v>11</v>
      </c>
      <c r="M7" s="294" t="s">
        <v>12</v>
      </c>
      <c r="N7" s="227" t="s">
        <v>13</v>
      </c>
      <c r="O7" s="228" t="s">
        <v>14</v>
      </c>
    </row>
    <row r="8" spans="1:15" ht="17.25" customHeight="1">
      <c r="A8" s="236" t="s">
        <v>15</v>
      </c>
      <c r="B8" s="298" t="s">
        <v>285</v>
      </c>
      <c r="C8" s="237">
        <v>20</v>
      </c>
      <c r="D8" s="237">
        <v>0.67</v>
      </c>
      <c r="E8" s="237">
        <v>0.71</v>
      </c>
      <c r="F8" s="237">
        <v>0.44</v>
      </c>
      <c r="G8" s="238">
        <v>0.67</v>
      </c>
      <c r="H8" s="237">
        <v>0.61</v>
      </c>
      <c r="I8" s="237">
        <v>0.63</v>
      </c>
      <c r="J8" s="237">
        <v>0.65</v>
      </c>
      <c r="K8" s="238">
        <v>0.67</v>
      </c>
      <c r="L8" s="237">
        <v>0.65</v>
      </c>
      <c r="M8" s="240"/>
      <c r="N8" s="241"/>
      <c r="O8" s="242"/>
    </row>
    <row r="9" spans="1:15" ht="17.25" customHeight="1">
      <c r="A9" s="243" t="s">
        <v>17</v>
      </c>
      <c r="B9" s="298" t="s">
        <v>286</v>
      </c>
      <c r="C9" s="245">
        <v>15</v>
      </c>
      <c r="D9" s="245">
        <v>4.0000000000000001E-3</v>
      </c>
      <c r="E9" s="245">
        <v>0.28849999999999998</v>
      </c>
      <c r="F9" s="245">
        <v>2E-3</v>
      </c>
      <c r="G9" s="299">
        <v>0.7</v>
      </c>
      <c r="H9" s="245">
        <v>0.04</v>
      </c>
      <c r="I9" s="245">
        <v>6.0000000000000001E-3</v>
      </c>
      <c r="J9" s="245">
        <v>0.03</v>
      </c>
      <c r="K9" s="246">
        <v>0.04</v>
      </c>
      <c r="L9" s="245">
        <v>3.0000000000000001E-3</v>
      </c>
      <c r="M9" s="247"/>
      <c r="N9" s="248"/>
      <c r="O9" s="249"/>
    </row>
    <row r="10" spans="1:15" ht="17.25" customHeight="1">
      <c r="A10" s="243" t="s">
        <v>19</v>
      </c>
      <c r="B10" s="298" t="s">
        <v>287</v>
      </c>
      <c r="C10" s="245">
        <v>15</v>
      </c>
      <c r="D10" s="245">
        <v>158105</v>
      </c>
      <c r="E10" s="245">
        <v>86176</v>
      </c>
      <c r="F10" s="245">
        <v>136544</v>
      </c>
      <c r="G10" s="246">
        <v>155805</v>
      </c>
      <c r="H10" s="245">
        <v>33073</v>
      </c>
      <c r="I10" s="245">
        <v>72544</v>
      </c>
      <c r="J10" s="245">
        <v>116854</v>
      </c>
      <c r="K10" s="246">
        <v>155805</v>
      </c>
      <c r="L10" s="245">
        <v>124041</v>
      </c>
      <c r="M10" s="247"/>
      <c r="N10" s="248"/>
      <c r="O10" s="249"/>
    </row>
    <row r="11" spans="1:15" ht="17.25" customHeight="1">
      <c r="A11" s="243" t="s">
        <v>21</v>
      </c>
      <c r="B11" s="244" t="s">
        <v>288</v>
      </c>
      <c r="C11" s="245">
        <v>15</v>
      </c>
      <c r="D11" s="245">
        <v>8</v>
      </c>
      <c r="E11" s="245">
        <v>12.2</v>
      </c>
      <c r="F11" s="245">
        <v>4.8</v>
      </c>
      <c r="G11" s="246">
        <v>7.3</v>
      </c>
      <c r="H11" s="245">
        <v>1.6</v>
      </c>
      <c r="I11" s="245">
        <v>3.4</v>
      </c>
      <c r="J11" s="245">
        <v>5.5</v>
      </c>
      <c r="K11" s="246">
        <v>7.3</v>
      </c>
      <c r="L11" s="245">
        <v>5.5</v>
      </c>
      <c r="M11" s="247"/>
      <c r="N11" s="248"/>
      <c r="O11" s="249"/>
    </row>
    <row r="12" spans="1:15" ht="27.75" customHeight="1">
      <c r="A12" s="243" t="s">
        <v>23</v>
      </c>
      <c r="B12" s="298" t="s">
        <v>289</v>
      </c>
      <c r="C12" s="245">
        <v>15</v>
      </c>
      <c r="D12" s="251">
        <v>0.7</v>
      </c>
      <c r="E12" s="251">
        <v>0.71</v>
      </c>
      <c r="F12" s="251">
        <v>0.86</v>
      </c>
      <c r="G12" s="252">
        <v>0.71</v>
      </c>
      <c r="H12" s="251">
        <v>0.7</v>
      </c>
      <c r="I12" s="251">
        <v>0.7</v>
      </c>
      <c r="J12" s="251">
        <v>0.7</v>
      </c>
      <c r="K12" s="252">
        <v>0.7</v>
      </c>
      <c r="L12" s="245">
        <v>0.7</v>
      </c>
      <c r="M12" s="247"/>
      <c r="N12" s="248"/>
      <c r="O12" s="249"/>
    </row>
    <row r="13" spans="1:15" ht="27.75" customHeight="1">
      <c r="A13" s="243" t="s">
        <v>25</v>
      </c>
      <c r="B13" s="298" t="s">
        <v>290</v>
      </c>
      <c r="C13" s="245">
        <v>5</v>
      </c>
      <c r="D13" s="245">
        <v>0.04</v>
      </c>
      <c r="E13" s="245">
        <v>2.9000000000000001E-2</v>
      </c>
      <c r="F13" s="245">
        <v>0.03</v>
      </c>
      <c r="G13" s="246">
        <v>0.04</v>
      </c>
      <c r="H13" s="245">
        <v>0.04</v>
      </c>
      <c r="I13" s="245">
        <v>0.03</v>
      </c>
      <c r="J13" s="245">
        <v>0.03</v>
      </c>
      <c r="K13" s="246">
        <v>0.04</v>
      </c>
      <c r="L13" s="245">
        <v>0.02</v>
      </c>
      <c r="M13" s="247"/>
      <c r="N13" s="248"/>
      <c r="O13" s="249"/>
    </row>
    <row r="14" spans="1:15" ht="27.75" customHeight="1">
      <c r="A14" s="243" t="s">
        <v>27</v>
      </c>
      <c r="B14" s="298" t="s">
        <v>291</v>
      </c>
      <c r="C14" s="245">
        <v>0</v>
      </c>
      <c r="D14" s="245">
        <v>0</v>
      </c>
      <c r="E14" s="245">
        <v>0</v>
      </c>
      <c r="F14" s="245">
        <v>0</v>
      </c>
      <c r="G14" s="246">
        <v>0</v>
      </c>
      <c r="H14" s="245">
        <v>0</v>
      </c>
      <c r="I14" s="245">
        <v>0</v>
      </c>
      <c r="J14" s="245">
        <v>0</v>
      </c>
      <c r="K14" s="246">
        <v>0</v>
      </c>
      <c r="L14" s="245">
        <v>0</v>
      </c>
      <c r="M14" s="247"/>
      <c r="N14" s="248"/>
      <c r="O14" s="249"/>
    </row>
    <row r="15" spans="1:15" ht="27.75" customHeight="1">
      <c r="A15" s="243" t="s">
        <v>29</v>
      </c>
      <c r="B15" s="298" t="s">
        <v>292</v>
      </c>
      <c r="C15" s="245">
        <v>0</v>
      </c>
      <c r="D15" s="245">
        <v>0</v>
      </c>
      <c r="E15" s="245">
        <v>0</v>
      </c>
      <c r="F15" s="245">
        <v>0</v>
      </c>
      <c r="G15" s="246">
        <v>0</v>
      </c>
      <c r="H15" s="245">
        <v>0</v>
      </c>
      <c r="I15" s="245">
        <v>0</v>
      </c>
      <c r="J15" s="245">
        <v>0</v>
      </c>
      <c r="K15" s="246">
        <v>0</v>
      </c>
      <c r="L15" s="245">
        <v>0</v>
      </c>
      <c r="M15" s="247"/>
      <c r="N15" s="248"/>
      <c r="O15" s="249"/>
    </row>
    <row r="16" spans="1:15" ht="27.75" customHeight="1">
      <c r="A16" s="243" t="s">
        <v>31</v>
      </c>
      <c r="B16" s="298" t="s">
        <v>293</v>
      </c>
      <c r="C16" s="245">
        <v>10</v>
      </c>
      <c r="D16" s="253">
        <v>17.8</v>
      </c>
      <c r="E16" s="245">
        <v>11.4</v>
      </c>
      <c r="F16" s="253">
        <v>14</v>
      </c>
      <c r="G16" s="246">
        <v>19.8</v>
      </c>
      <c r="H16" s="253">
        <v>5</v>
      </c>
      <c r="I16" s="245">
        <v>9.9</v>
      </c>
      <c r="J16" s="245">
        <v>14.9</v>
      </c>
      <c r="K16" s="246">
        <v>19.8</v>
      </c>
      <c r="L16" s="245">
        <v>15.8</v>
      </c>
      <c r="M16" s="247"/>
      <c r="N16" s="248"/>
      <c r="O16" s="249"/>
    </row>
    <row r="17" spans="1:15" ht="17.25" customHeight="1">
      <c r="A17" s="243" t="s">
        <v>33</v>
      </c>
      <c r="B17" s="298" t="s">
        <v>294</v>
      </c>
      <c r="C17" s="245">
        <v>5</v>
      </c>
      <c r="D17" s="245">
        <v>1.08</v>
      </c>
      <c r="E17" s="245">
        <v>0.78</v>
      </c>
      <c r="F17" s="245">
        <v>0.89</v>
      </c>
      <c r="G17" s="246">
        <v>1.05</v>
      </c>
      <c r="H17" s="245">
        <v>0.94</v>
      </c>
      <c r="I17" s="245">
        <v>0.77</v>
      </c>
      <c r="J17" s="245">
        <v>1.1599999999999999</v>
      </c>
      <c r="K17" s="246">
        <v>1.05</v>
      </c>
      <c r="L17" s="245">
        <v>1.02</v>
      </c>
      <c r="M17" s="247"/>
      <c r="N17" s="248"/>
      <c r="O17" s="249"/>
    </row>
    <row r="18" spans="1:15" ht="29.25" customHeight="1">
      <c r="A18" s="243" t="s">
        <v>35</v>
      </c>
      <c r="B18" s="298" t="s">
        <v>295</v>
      </c>
      <c r="C18" s="245">
        <v>0</v>
      </c>
      <c r="D18" s="245"/>
      <c r="E18" s="245"/>
      <c r="F18" s="245"/>
      <c r="G18" s="246"/>
      <c r="H18" s="245"/>
      <c r="I18" s="245"/>
      <c r="J18" s="245"/>
      <c r="K18" s="246"/>
      <c r="L18" s="245">
        <v>0</v>
      </c>
      <c r="M18" s="247"/>
      <c r="N18" s="248"/>
      <c r="O18" s="249"/>
    </row>
    <row r="19" spans="1:15" ht="29.25" customHeight="1">
      <c r="A19" s="243" t="s">
        <v>37</v>
      </c>
      <c r="B19" s="298" t="s">
        <v>296</v>
      </c>
      <c r="C19" s="245">
        <v>0</v>
      </c>
      <c r="D19" s="245"/>
      <c r="E19" s="245"/>
      <c r="F19" s="245"/>
      <c r="G19" s="246"/>
      <c r="H19" s="245"/>
      <c r="I19" s="245"/>
      <c r="J19" s="245"/>
      <c r="K19" s="246"/>
      <c r="L19" s="245">
        <v>0</v>
      </c>
      <c r="M19" s="247"/>
      <c r="N19" s="248"/>
      <c r="O19" s="249"/>
    </row>
    <row r="20" spans="1:15" ht="29.25" customHeight="1" thickBot="1">
      <c r="A20" s="254" t="s">
        <v>39</v>
      </c>
      <c r="B20" s="298" t="s">
        <v>297</v>
      </c>
      <c r="C20" s="255">
        <v>0</v>
      </c>
      <c r="D20" s="255">
        <v>0</v>
      </c>
      <c r="E20" s="255">
        <v>0</v>
      </c>
      <c r="F20" s="255">
        <v>0</v>
      </c>
      <c r="G20" s="256">
        <v>0</v>
      </c>
      <c r="H20" s="255">
        <v>0</v>
      </c>
      <c r="I20" s="255">
        <v>0</v>
      </c>
      <c r="J20" s="255">
        <v>0</v>
      </c>
      <c r="K20" s="256">
        <v>0</v>
      </c>
      <c r="L20" s="255">
        <v>0</v>
      </c>
      <c r="M20" s="257"/>
      <c r="N20" s="258"/>
      <c r="O20" s="259"/>
    </row>
    <row r="21" spans="1:15" ht="22.5" customHeight="1" thickBot="1">
      <c r="A21" s="370" t="s">
        <v>56</v>
      </c>
      <c r="B21" s="371"/>
      <c r="C21" s="260">
        <v>100</v>
      </c>
      <c r="D21" s="260"/>
      <c r="E21" s="260"/>
      <c r="F21" s="261"/>
      <c r="G21" s="227"/>
      <c r="H21" s="262"/>
      <c r="I21" s="260"/>
      <c r="J21" s="260"/>
      <c r="K21" s="263"/>
      <c r="L21" s="264"/>
      <c r="M21" s="265"/>
      <c r="N21" s="266"/>
      <c r="O21" s="267"/>
    </row>
    <row r="22" spans="1:15" s="221" customFormat="1">
      <c r="A22" s="367" t="s">
        <v>298</v>
      </c>
      <c r="B22" s="367"/>
      <c r="C22" s="367"/>
      <c r="D22" s="367"/>
      <c r="E22" s="367"/>
      <c r="F22" s="367"/>
      <c r="G22" s="367"/>
      <c r="H22" s="367"/>
      <c r="I22" s="367"/>
      <c r="J22" s="367"/>
      <c r="K22" s="367"/>
      <c r="L22" s="367"/>
      <c r="M22" s="367"/>
      <c r="N22" s="367"/>
      <c r="O22" s="367"/>
    </row>
    <row r="23" spans="1:15" s="221" customFormat="1">
      <c r="A23" s="314" t="s">
        <v>315</v>
      </c>
      <c r="B23" s="314"/>
      <c r="C23" s="314"/>
      <c r="D23" s="314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</row>
    <row r="24" spans="1:15" s="221" customFormat="1" ht="18.75">
      <c r="A24" s="368" t="s">
        <v>299</v>
      </c>
      <c r="B24" s="368"/>
      <c r="C24" s="368"/>
      <c r="D24" s="368"/>
      <c r="E24" s="368"/>
      <c r="F24" s="368"/>
      <c r="G24" s="368"/>
      <c r="H24" s="368"/>
      <c r="I24" s="368"/>
      <c r="J24" s="368"/>
      <c r="K24" s="368"/>
      <c r="L24" s="368"/>
      <c r="M24" s="368"/>
      <c r="N24" s="368"/>
      <c r="O24" s="368"/>
    </row>
    <row r="25" spans="1:15" s="221" customFormat="1" ht="19.5" thickBot="1">
      <c r="A25" s="369" t="s">
        <v>300</v>
      </c>
      <c r="B25" s="369"/>
      <c r="C25" s="369"/>
      <c r="D25" s="369"/>
      <c r="E25" s="369"/>
      <c r="F25" s="369"/>
      <c r="G25" s="369"/>
      <c r="H25" s="369"/>
      <c r="I25" s="369"/>
      <c r="J25" s="369"/>
      <c r="K25" s="369"/>
      <c r="L25" s="369"/>
      <c r="M25" s="369"/>
      <c r="N25" s="369"/>
      <c r="O25" s="369"/>
    </row>
    <row r="26" spans="1:15" s="221" customFormat="1" ht="40.5" customHeight="1" thickBot="1">
      <c r="A26" s="372" t="s">
        <v>234</v>
      </c>
      <c r="B26" s="316" t="s">
        <v>301</v>
      </c>
      <c r="C26" s="317" t="s">
        <v>302</v>
      </c>
      <c r="D26" s="320" t="s">
        <v>227</v>
      </c>
      <c r="E26" s="321"/>
      <c r="F26" s="322"/>
      <c r="G26" s="323" t="s">
        <v>306</v>
      </c>
      <c r="H26" s="325" t="s">
        <v>311</v>
      </c>
      <c r="I26" s="321"/>
      <c r="J26" s="321"/>
      <c r="K26" s="326"/>
      <c r="L26" s="374" t="s">
        <v>311</v>
      </c>
      <c r="M26" s="317" t="s">
        <v>312</v>
      </c>
      <c r="N26" s="316" t="s">
        <v>313</v>
      </c>
      <c r="O26" s="374" t="s">
        <v>314</v>
      </c>
    </row>
    <row r="27" spans="1:15" s="221" customFormat="1" ht="39" customHeight="1" thickBot="1">
      <c r="A27" s="373"/>
      <c r="B27" s="319"/>
      <c r="C27" s="318"/>
      <c r="D27" s="222" t="s">
        <v>303</v>
      </c>
      <c r="E27" s="223" t="s">
        <v>304</v>
      </c>
      <c r="F27" s="224" t="s">
        <v>305</v>
      </c>
      <c r="G27" s="324"/>
      <c r="H27" s="225" t="s">
        <v>307</v>
      </c>
      <c r="I27" s="223" t="s">
        <v>308</v>
      </c>
      <c r="J27" s="223" t="s">
        <v>309</v>
      </c>
      <c r="K27" s="226" t="s">
        <v>310</v>
      </c>
      <c r="L27" s="375"/>
      <c r="M27" s="318"/>
      <c r="N27" s="319"/>
      <c r="O27" s="375"/>
    </row>
    <row r="28" spans="1:15" s="221" customFormat="1" ht="18" customHeight="1" thickBot="1">
      <c r="A28" s="227"/>
      <c r="B28" s="228" t="s">
        <v>9</v>
      </c>
      <c r="C28" s="229" t="s">
        <v>10</v>
      </c>
      <c r="D28" s="230"/>
      <c r="E28" s="230"/>
      <c r="F28" s="231"/>
      <c r="G28" s="232"/>
      <c r="H28" s="233"/>
      <c r="I28" s="230"/>
      <c r="J28" s="230"/>
      <c r="K28" s="234"/>
      <c r="L28" s="228" t="s">
        <v>11</v>
      </c>
      <c r="M28" s="235" t="s">
        <v>12</v>
      </c>
      <c r="N28" s="227" t="s">
        <v>13</v>
      </c>
      <c r="O28" s="228" t="s">
        <v>14</v>
      </c>
    </row>
    <row r="29" spans="1:15" s="221" customFormat="1" ht="17.25" customHeight="1">
      <c r="A29" s="236" t="s">
        <v>15</v>
      </c>
      <c r="B29" s="298" t="s">
        <v>285</v>
      </c>
      <c r="C29" s="237">
        <v>20</v>
      </c>
      <c r="D29" s="237">
        <v>0.56000000000000005</v>
      </c>
      <c r="E29" s="237">
        <v>0.55000000000000004</v>
      </c>
      <c r="F29" s="237">
        <v>0.56999999999999995</v>
      </c>
      <c r="G29" s="238">
        <v>0.67</v>
      </c>
      <c r="H29" s="237">
        <v>0.56000000000000005</v>
      </c>
      <c r="I29" s="237">
        <v>0.55000000000000004</v>
      </c>
      <c r="J29" s="237">
        <v>0.56999999999999995</v>
      </c>
      <c r="K29" s="238">
        <v>0.67</v>
      </c>
      <c r="L29" s="239">
        <f>(H29+I29+J29+K29)/4</f>
        <v>0.58750000000000002</v>
      </c>
      <c r="M29" s="240"/>
      <c r="N29" s="241"/>
      <c r="O29" s="242"/>
    </row>
    <row r="30" spans="1:15" s="221" customFormat="1" ht="17.25" customHeight="1">
      <c r="A30" s="243" t="s">
        <v>17</v>
      </c>
      <c r="B30" s="298" t="s">
        <v>286</v>
      </c>
      <c r="C30" s="245">
        <v>15</v>
      </c>
      <c r="D30" s="245">
        <v>0.12</v>
      </c>
      <c r="E30" s="245">
        <v>0.01</v>
      </c>
      <c r="F30" s="245">
        <v>0.01</v>
      </c>
      <c r="G30" s="246">
        <v>0.04</v>
      </c>
      <c r="H30" s="245">
        <v>0.12</v>
      </c>
      <c r="I30" s="245">
        <v>0.01</v>
      </c>
      <c r="J30" s="245">
        <v>0.01</v>
      </c>
      <c r="K30" s="245">
        <v>0.01</v>
      </c>
      <c r="L30" s="239">
        <f t="shared" ref="L30:L41" si="0">(H30+I30+J30+K30)/4</f>
        <v>3.7500000000000006E-2</v>
      </c>
      <c r="M30" s="247"/>
      <c r="N30" s="248"/>
      <c r="O30" s="249"/>
    </row>
    <row r="31" spans="1:15" s="221" customFormat="1" ht="17.25" customHeight="1">
      <c r="A31" s="243" t="s">
        <v>19</v>
      </c>
      <c r="B31" s="298" t="s">
        <v>287</v>
      </c>
      <c r="C31" s="245">
        <v>15</v>
      </c>
      <c r="D31" s="245">
        <v>75572</v>
      </c>
      <c r="E31" s="245">
        <v>162789</v>
      </c>
      <c r="F31" s="245">
        <v>321617</v>
      </c>
      <c r="G31" s="246">
        <v>155805</v>
      </c>
      <c r="H31" s="245">
        <v>75572</v>
      </c>
      <c r="I31" s="245">
        <v>162789</v>
      </c>
      <c r="J31" s="245">
        <v>321617</v>
      </c>
      <c r="K31" s="245">
        <v>381500</v>
      </c>
      <c r="L31" s="250">
        <f t="shared" si="0"/>
        <v>235369.5</v>
      </c>
      <c r="M31" s="247"/>
      <c r="N31" s="248"/>
      <c r="O31" s="249"/>
    </row>
    <row r="32" spans="1:15" s="221" customFormat="1" ht="17.25" customHeight="1">
      <c r="A32" s="243" t="s">
        <v>21</v>
      </c>
      <c r="B32" s="244" t="s">
        <v>288</v>
      </c>
      <c r="C32" s="245">
        <v>15</v>
      </c>
      <c r="D32" s="245">
        <v>2.2000000000000002</v>
      </c>
      <c r="E32" s="245">
        <v>4.3</v>
      </c>
      <c r="F32" s="245">
        <v>8.6999999999999993</v>
      </c>
      <c r="G32" s="246">
        <v>7.3</v>
      </c>
      <c r="H32" s="245">
        <v>2.2000000000000002</v>
      </c>
      <c r="I32" s="245">
        <v>4.3</v>
      </c>
      <c r="J32" s="245">
        <v>8.6999999999999993</v>
      </c>
      <c r="K32" s="246">
        <v>9.8000000000000007</v>
      </c>
      <c r="L32" s="239">
        <f t="shared" si="0"/>
        <v>6.25</v>
      </c>
      <c r="M32" s="247"/>
      <c r="N32" s="248"/>
      <c r="O32" s="249"/>
    </row>
    <row r="33" spans="1:15" s="221" customFormat="1" ht="27.75" customHeight="1">
      <c r="A33" s="243" t="s">
        <v>23</v>
      </c>
      <c r="B33" s="298" t="s">
        <v>289</v>
      </c>
      <c r="C33" s="245">
        <v>15</v>
      </c>
      <c r="D33" s="251">
        <v>0.86</v>
      </c>
      <c r="E33" s="251">
        <v>0.86</v>
      </c>
      <c r="F33" s="251">
        <v>0.96</v>
      </c>
      <c r="G33" s="252">
        <v>0.7</v>
      </c>
      <c r="H33" s="251">
        <v>0.86</v>
      </c>
      <c r="I33" s="251">
        <v>0.86</v>
      </c>
      <c r="J33" s="251">
        <v>0.86</v>
      </c>
      <c r="K33" s="251">
        <v>0.86</v>
      </c>
      <c r="L33" s="239">
        <f t="shared" si="0"/>
        <v>0.86</v>
      </c>
      <c r="M33" s="247"/>
      <c r="N33" s="248"/>
      <c r="O33" s="249"/>
    </row>
    <row r="34" spans="1:15" s="221" customFormat="1" ht="27.75" customHeight="1">
      <c r="A34" s="243" t="s">
        <v>25</v>
      </c>
      <c r="B34" s="298" t="s">
        <v>290</v>
      </c>
      <c r="C34" s="245">
        <v>5</v>
      </c>
      <c r="D34" s="245">
        <v>0.03</v>
      </c>
      <c r="E34" s="245">
        <v>0.03</v>
      </c>
      <c r="F34" s="245">
        <v>0.03</v>
      </c>
      <c r="G34" s="246">
        <v>0.04</v>
      </c>
      <c r="H34" s="245">
        <v>0.03</v>
      </c>
      <c r="I34" s="245">
        <v>0.03</v>
      </c>
      <c r="J34" s="245">
        <v>0.03</v>
      </c>
      <c r="K34" s="246">
        <v>0.03</v>
      </c>
      <c r="L34" s="239">
        <f t="shared" si="0"/>
        <v>0.03</v>
      </c>
      <c r="M34" s="247"/>
      <c r="N34" s="248"/>
      <c r="O34" s="249"/>
    </row>
    <row r="35" spans="1:15" s="221" customFormat="1" ht="27.75" customHeight="1">
      <c r="A35" s="243" t="s">
        <v>27</v>
      </c>
      <c r="B35" s="298" t="s">
        <v>291</v>
      </c>
      <c r="C35" s="245">
        <v>0</v>
      </c>
      <c r="D35" s="245">
        <v>0</v>
      </c>
      <c r="E35" s="245">
        <v>0</v>
      </c>
      <c r="F35" s="245">
        <v>0</v>
      </c>
      <c r="G35" s="246">
        <v>0</v>
      </c>
      <c r="H35" s="245">
        <v>0</v>
      </c>
      <c r="I35" s="245">
        <v>0</v>
      </c>
      <c r="J35" s="245">
        <v>0</v>
      </c>
      <c r="K35" s="246">
        <v>0</v>
      </c>
      <c r="L35" s="239">
        <f t="shared" si="0"/>
        <v>0</v>
      </c>
      <c r="M35" s="247"/>
      <c r="N35" s="248"/>
      <c r="O35" s="249"/>
    </row>
    <row r="36" spans="1:15" s="221" customFormat="1" ht="27.75" customHeight="1">
      <c r="A36" s="243" t="s">
        <v>29</v>
      </c>
      <c r="B36" s="298" t="s">
        <v>292</v>
      </c>
      <c r="C36" s="245">
        <v>0</v>
      </c>
      <c r="D36" s="245">
        <v>0</v>
      </c>
      <c r="E36" s="245">
        <v>0</v>
      </c>
      <c r="F36" s="245">
        <v>0</v>
      </c>
      <c r="G36" s="246">
        <v>0</v>
      </c>
      <c r="H36" s="245">
        <v>0</v>
      </c>
      <c r="I36" s="245">
        <v>0</v>
      </c>
      <c r="J36" s="245">
        <v>0</v>
      </c>
      <c r="K36" s="246">
        <v>0</v>
      </c>
      <c r="L36" s="239">
        <f t="shared" si="0"/>
        <v>0</v>
      </c>
      <c r="M36" s="247"/>
      <c r="N36" s="248"/>
      <c r="O36" s="249"/>
    </row>
    <row r="37" spans="1:15" s="221" customFormat="1" ht="27.75" customHeight="1">
      <c r="A37" s="243" t="s">
        <v>31</v>
      </c>
      <c r="B37" s="298" t="s">
        <v>293</v>
      </c>
      <c r="C37" s="245">
        <v>10</v>
      </c>
      <c r="D37" s="253">
        <v>8.4</v>
      </c>
      <c r="E37" s="245">
        <v>25.8</v>
      </c>
      <c r="F37" s="253">
        <v>34</v>
      </c>
      <c r="G37" s="246">
        <v>19.8</v>
      </c>
      <c r="H37" s="253">
        <v>8.4</v>
      </c>
      <c r="I37" s="245">
        <v>25.8</v>
      </c>
      <c r="J37" s="253">
        <v>34</v>
      </c>
      <c r="K37" s="246">
        <v>40</v>
      </c>
      <c r="L37" s="239">
        <f t="shared" si="0"/>
        <v>27.05</v>
      </c>
      <c r="M37" s="247"/>
      <c r="N37" s="248"/>
      <c r="O37" s="249"/>
    </row>
    <row r="38" spans="1:15" s="221" customFormat="1" ht="17.25" customHeight="1">
      <c r="A38" s="243" t="s">
        <v>33</v>
      </c>
      <c r="B38" s="298" t="s">
        <v>294</v>
      </c>
      <c r="C38" s="245">
        <v>5</v>
      </c>
      <c r="D38" s="245">
        <v>1.0900000000000001</v>
      </c>
      <c r="E38" s="245">
        <v>1.0900000000000001</v>
      </c>
      <c r="F38" s="245">
        <v>1.0900000000000001</v>
      </c>
      <c r="G38" s="246">
        <v>1.05</v>
      </c>
      <c r="H38" s="245">
        <v>1.0900000000000001</v>
      </c>
      <c r="I38" s="245">
        <v>1.0900000000000001</v>
      </c>
      <c r="J38" s="245">
        <v>1.0900000000000001</v>
      </c>
      <c r="K38" s="246">
        <v>1.0900000000000001</v>
      </c>
      <c r="L38" s="239">
        <f t="shared" si="0"/>
        <v>1.0900000000000001</v>
      </c>
      <c r="M38" s="247"/>
      <c r="N38" s="248"/>
      <c r="O38" s="249"/>
    </row>
    <row r="39" spans="1:15" s="221" customFormat="1" ht="29.25" customHeight="1">
      <c r="A39" s="243" t="s">
        <v>35</v>
      </c>
      <c r="B39" s="298" t="s">
        <v>295</v>
      </c>
      <c r="C39" s="245">
        <v>0</v>
      </c>
      <c r="D39" s="245"/>
      <c r="E39" s="245"/>
      <c r="F39" s="245"/>
      <c r="G39" s="246"/>
      <c r="H39" s="245"/>
      <c r="I39" s="245"/>
      <c r="J39" s="245"/>
      <c r="K39" s="246"/>
      <c r="L39" s="239">
        <f t="shared" si="0"/>
        <v>0</v>
      </c>
      <c r="M39" s="247"/>
      <c r="N39" s="248"/>
      <c r="O39" s="249"/>
    </row>
    <row r="40" spans="1:15" s="221" customFormat="1" ht="29.25" customHeight="1">
      <c r="A40" s="243" t="s">
        <v>37</v>
      </c>
      <c r="B40" s="298" t="s">
        <v>296</v>
      </c>
      <c r="C40" s="245">
        <v>0</v>
      </c>
      <c r="D40" s="245"/>
      <c r="E40" s="245"/>
      <c r="F40" s="245"/>
      <c r="G40" s="246"/>
      <c r="H40" s="245"/>
      <c r="I40" s="245"/>
      <c r="J40" s="245"/>
      <c r="K40" s="246"/>
      <c r="L40" s="239">
        <f t="shared" si="0"/>
        <v>0</v>
      </c>
      <c r="M40" s="247"/>
      <c r="N40" s="248"/>
      <c r="O40" s="249"/>
    </row>
    <row r="41" spans="1:15" s="221" customFormat="1" ht="29.25" customHeight="1" thickBot="1">
      <c r="A41" s="254" t="s">
        <v>39</v>
      </c>
      <c r="B41" s="298" t="s">
        <v>297</v>
      </c>
      <c r="C41" s="255">
        <v>0</v>
      </c>
      <c r="D41" s="255">
        <v>0</v>
      </c>
      <c r="E41" s="255">
        <v>0</v>
      </c>
      <c r="F41" s="255">
        <v>0</v>
      </c>
      <c r="G41" s="256">
        <v>0</v>
      </c>
      <c r="H41" s="255">
        <v>0</v>
      </c>
      <c r="I41" s="255">
        <v>0</v>
      </c>
      <c r="J41" s="255">
        <v>0</v>
      </c>
      <c r="K41" s="256">
        <v>0</v>
      </c>
      <c r="L41" s="239">
        <f t="shared" si="0"/>
        <v>0</v>
      </c>
      <c r="M41" s="257"/>
      <c r="N41" s="258"/>
      <c r="O41" s="259"/>
    </row>
    <row r="42" spans="1:15" s="221" customFormat="1" ht="22.5" customHeight="1" thickBot="1">
      <c r="A42" s="370" t="s">
        <v>56</v>
      </c>
      <c r="B42" s="371"/>
      <c r="C42" s="260">
        <v>100</v>
      </c>
      <c r="D42" s="260"/>
      <c r="E42" s="260"/>
      <c r="F42" s="261"/>
      <c r="G42" s="227"/>
      <c r="H42" s="262"/>
      <c r="I42" s="260"/>
      <c r="J42" s="260"/>
      <c r="K42" s="263"/>
      <c r="L42" s="264"/>
      <c r="M42" s="265"/>
      <c r="N42" s="266"/>
      <c r="O42" s="267"/>
    </row>
    <row r="43" spans="1:15" s="221" customFormat="1"/>
    <row r="44" spans="1:15" s="221" customFormat="1"/>
  </sheetData>
  <mergeCells count="30">
    <mergeCell ref="A42:B42"/>
    <mergeCell ref="A22:O22"/>
    <mergeCell ref="A23:O23"/>
    <mergeCell ref="A24:O24"/>
    <mergeCell ref="A25:O25"/>
    <mergeCell ref="A26:A27"/>
    <mergeCell ref="B26:B27"/>
    <mergeCell ref="C26:C27"/>
    <mergeCell ref="D26:F26"/>
    <mergeCell ref="G26:G27"/>
    <mergeCell ref="H26:K26"/>
    <mergeCell ref="L26:L27"/>
    <mergeCell ref="M26:M27"/>
    <mergeCell ref="N26:N27"/>
    <mergeCell ref="O26:O27"/>
    <mergeCell ref="A1:O1"/>
    <mergeCell ref="A2:O2"/>
    <mergeCell ref="A3:O3"/>
    <mergeCell ref="A4:O4"/>
    <mergeCell ref="A21:B21"/>
    <mergeCell ref="C5:C6"/>
    <mergeCell ref="B5:B6"/>
    <mergeCell ref="A5:A6"/>
    <mergeCell ref="N5:N6"/>
    <mergeCell ref="O5:O6"/>
    <mergeCell ref="D5:F5"/>
    <mergeCell ref="G5:G6"/>
    <mergeCell ref="H5:K5"/>
    <mergeCell ref="L5:L6"/>
    <mergeCell ref="M5:M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9"/>
  <sheetViews>
    <sheetView workbookViewId="0">
      <selection activeCell="P11" sqref="P11"/>
    </sheetView>
  </sheetViews>
  <sheetFormatPr defaultRowHeight="15"/>
  <cols>
    <col min="1" max="1" width="5.7109375" style="57" customWidth="1"/>
    <col min="2" max="2" width="63.28515625" style="57" customWidth="1"/>
    <col min="3" max="3" width="9.5703125" style="57" customWidth="1"/>
    <col min="4" max="6" width="9.5703125" style="57" hidden="1" customWidth="1"/>
    <col min="7" max="7" width="11.85546875" style="57" hidden="1" customWidth="1"/>
    <col min="8" max="8" width="12.140625" style="57" customWidth="1"/>
    <col min="9" max="9" width="13" style="57" customWidth="1"/>
    <col min="10" max="10" width="12.85546875" style="57" customWidth="1"/>
    <col min="11" max="11" width="13.140625" style="57" customWidth="1"/>
    <col min="12" max="16384" width="9.140625" style="57"/>
  </cols>
  <sheetData>
    <row r="1" spans="1:11">
      <c r="A1" s="307" t="s">
        <v>3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</row>
    <row r="2" spans="1:11">
      <c r="A2" s="307" t="s">
        <v>4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</row>
    <row r="3" spans="1:11" s="55" customFormat="1" ht="18" customHeight="1">
      <c r="A3" s="308" t="s">
        <v>5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</row>
    <row r="4" spans="1:11" s="55" customFormat="1" ht="19.5" customHeight="1">
      <c r="A4" s="308" t="s">
        <v>283</v>
      </c>
      <c r="B4" s="308"/>
      <c r="C4" s="308"/>
      <c r="D4" s="308"/>
      <c r="E4" s="308"/>
      <c r="F4" s="308"/>
      <c r="G4" s="308"/>
      <c r="H4" s="308"/>
      <c r="I4" s="308"/>
      <c r="J4" s="308"/>
      <c r="K4" s="308"/>
    </row>
    <row r="5" spans="1:11" s="55" customFormat="1" ht="53.25" customHeight="1">
      <c r="A5" s="197" t="s">
        <v>6</v>
      </c>
      <c r="B5" s="197" t="s">
        <v>7</v>
      </c>
      <c r="C5" s="197" t="s">
        <v>184</v>
      </c>
      <c r="D5" s="197" t="s">
        <v>230</v>
      </c>
      <c r="E5" s="197" t="s">
        <v>231</v>
      </c>
      <c r="F5" s="197" t="s">
        <v>232</v>
      </c>
      <c r="G5" s="197" t="s">
        <v>233</v>
      </c>
      <c r="H5" s="197" t="s">
        <v>221</v>
      </c>
      <c r="I5" s="197" t="s">
        <v>185</v>
      </c>
      <c r="J5" s="197" t="s">
        <v>186</v>
      </c>
      <c r="K5" s="197" t="s">
        <v>8</v>
      </c>
    </row>
    <row r="6" spans="1:11" s="55" customFormat="1" ht="15.75" thickBot="1">
      <c r="A6" s="197"/>
      <c r="B6" s="197" t="s">
        <v>9</v>
      </c>
      <c r="C6" s="197" t="s">
        <v>10</v>
      </c>
      <c r="D6" s="197"/>
      <c r="E6" s="197"/>
      <c r="F6" s="197"/>
      <c r="G6" s="197"/>
      <c r="H6" s="197" t="s">
        <v>11</v>
      </c>
      <c r="I6" s="197" t="s">
        <v>12</v>
      </c>
      <c r="J6" s="197" t="s">
        <v>13</v>
      </c>
      <c r="K6" s="197" t="s">
        <v>14</v>
      </c>
    </row>
    <row r="7" spans="1:11" s="55" customFormat="1" ht="30" customHeight="1">
      <c r="A7" s="198" t="s">
        <v>15</v>
      </c>
      <c r="B7" s="38" t="s">
        <v>16</v>
      </c>
      <c r="C7" s="58">
        <v>10</v>
      </c>
      <c r="D7" s="58">
        <v>590036</v>
      </c>
      <c r="E7" s="58">
        <v>1727390</v>
      </c>
      <c r="F7" s="58">
        <v>2469678</v>
      </c>
      <c r="G7" s="58">
        <v>2951195</v>
      </c>
      <c r="H7" s="81">
        <f>2469678*1.05</f>
        <v>2593161.9</v>
      </c>
      <c r="I7" s="68">
        <f>'При №3 а'!P8</f>
        <v>22005456</v>
      </c>
      <c r="J7" s="59">
        <f>I7/H7*100</f>
        <v>848.59553119301961</v>
      </c>
      <c r="K7" s="59">
        <f>J7*C7/100</f>
        <v>84.859553119301964</v>
      </c>
    </row>
    <row r="8" spans="1:11" s="55" customFormat="1" ht="22.5" customHeight="1">
      <c r="A8" s="198" t="s">
        <v>17</v>
      </c>
      <c r="B8" s="38" t="s">
        <v>18</v>
      </c>
      <c r="C8" s="58">
        <v>10</v>
      </c>
      <c r="D8" s="58">
        <v>9.7000000000000003E-2</v>
      </c>
      <c r="E8" s="58">
        <v>8.3000000000000004E-2</v>
      </c>
      <c r="F8" s="58">
        <v>8.2000000000000003E-2</v>
      </c>
      <c r="G8" s="58">
        <v>8.2000000000000003E-2</v>
      </c>
      <c r="H8" s="39">
        <v>8.2000000000000003E-2</v>
      </c>
      <c r="I8" s="60">
        <f>'При №3 а'!P21</f>
        <v>3.7361586070994601E-2</v>
      </c>
      <c r="J8" s="61">
        <f>H8/I8*100</f>
        <v>219.47676376528383</v>
      </c>
      <c r="K8" s="59">
        <f>J8*C8/100</f>
        <v>21.947676376528385</v>
      </c>
    </row>
    <row r="9" spans="1:11" s="55" customFormat="1" ht="30" customHeight="1">
      <c r="A9" s="198" t="s">
        <v>19</v>
      </c>
      <c r="B9" s="38" t="s">
        <v>20</v>
      </c>
      <c r="C9" s="58">
        <v>10</v>
      </c>
      <c r="D9" s="58">
        <v>0.02</v>
      </c>
      <c r="E9" s="58">
        <v>0.04</v>
      </c>
      <c r="F9" s="58">
        <v>0.06</v>
      </c>
      <c r="G9" s="58">
        <v>0.08</v>
      </c>
      <c r="H9" s="58">
        <v>0.06</v>
      </c>
      <c r="I9" s="28">
        <f>'При №3 а'!P22</f>
        <v>0.57531115180968095</v>
      </c>
      <c r="J9" s="59">
        <f t="shared" ref="J9:J18" si="0">I9/H9*100</f>
        <v>958.85191968280174</v>
      </c>
      <c r="K9" s="59">
        <f t="shared" ref="K9:K18" si="1">J9*C9/100</f>
        <v>95.885191968280182</v>
      </c>
    </row>
    <row r="10" spans="1:11" s="55" customFormat="1" ht="20.25" customHeight="1">
      <c r="A10" s="198" t="s">
        <v>21</v>
      </c>
      <c r="B10" s="38" t="s">
        <v>22</v>
      </c>
      <c r="C10" s="58">
        <v>10</v>
      </c>
      <c r="D10" s="58">
        <v>0.18</v>
      </c>
      <c r="E10" s="58">
        <v>0.35</v>
      </c>
      <c r="F10" s="58">
        <v>0.53</v>
      </c>
      <c r="G10" s="58">
        <v>0.7</v>
      </c>
      <c r="H10" s="53">
        <v>0.53</v>
      </c>
      <c r="I10" s="62">
        <f>'При №3 а'!P23</f>
        <v>0.87373202718124932</v>
      </c>
      <c r="J10" s="59">
        <f t="shared" si="0"/>
        <v>164.85509946816023</v>
      </c>
      <c r="K10" s="59">
        <f t="shared" si="1"/>
        <v>16.485509946816023</v>
      </c>
    </row>
    <row r="11" spans="1:11" s="55" customFormat="1" ht="20.25" customHeight="1">
      <c r="A11" s="198" t="s">
        <v>23</v>
      </c>
      <c r="B11" s="38" t="s">
        <v>24</v>
      </c>
      <c r="C11" s="58">
        <v>10</v>
      </c>
      <c r="D11" s="58">
        <v>0</v>
      </c>
      <c r="E11" s="58">
        <v>0</v>
      </c>
      <c r="F11" s="58">
        <v>0</v>
      </c>
      <c r="G11" s="58">
        <v>0.16</v>
      </c>
      <c r="H11" s="58">
        <v>0</v>
      </c>
      <c r="I11" s="62">
        <f>'При №3 а'!P24</f>
        <v>0</v>
      </c>
      <c r="J11" s="59">
        <v>0</v>
      </c>
      <c r="K11" s="59">
        <v>0</v>
      </c>
    </row>
    <row r="12" spans="1:11" s="55" customFormat="1" ht="20.25" customHeight="1">
      <c r="A12" s="198" t="s">
        <v>25</v>
      </c>
      <c r="B12" s="38" t="s">
        <v>26</v>
      </c>
      <c r="C12" s="58">
        <v>5</v>
      </c>
      <c r="D12" s="58">
        <v>3.0000000000000001E-3</v>
      </c>
      <c r="E12" s="58">
        <v>5.0000000000000001E-3</v>
      </c>
      <c r="F12" s="58">
        <v>7.0000000000000001E-3</v>
      </c>
      <c r="G12" s="58">
        <v>8.9999999999999993E-3</v>
      </c>
      <c r="H12" s="58">
        <v>7.0000000000000001E-3</v>
      </c>
      <c r="I12" s="60">
        <f>'При №3 а'!P25</f>
        <v>0.13317513458657038</v>
      </c>
      <c r="J12" s="59">
        <f t="shared" si="0"/>
        <v>1902.5019226652912</v>
      </c>
      <c r="K12" s="59">
        <f t="shared" si="1"/>
        <v>95.125096133264563</v>
      </c>
    </row>
    <row r="13" spans="1:11" s="55" customFormat="1" ht="20.25" customHeight="1">
      <c r="A13" s="198" t="s">
        <v>27</v>
      </c>
      <c r="B13" s="38" t="s">
        <v>28</v>
      </c>
      <c r="C13" s="58">
        <v>5</v>
      </c>
      <c r="D13" s="58">
        <v>0.17</v>
      </c>
      <c r="E13" s="58">
        <v>0.15</v>
      </c>
      <c r="F13" s="58">
        <v>0.13</v>
      </c>
      <c r="G13" s="58">
        <v>0.11</v>
      </c>
      <c r="H13" s="63">
        <v>1.2999999999999999E-2</v>
      </c>
      <c r="I13" s="60">
        <f>'При №3 а'!P31</f>
        <v>3.2136752164388667E-2</v>
      </c>
      <c r="J13" s="59">
        <f t="shared" si="0"/>
        <v>247.20578587991281</v>
      </c>
      <c r="K13" s="59">
        <f t="shared" si="1"/>
        <v>12.36028929399564</v>
      </c>
    </row>
    <row r="14" spans="1:11" s="55" customFormat="1" ht="20.25" customHeight="1">
      <c r="A14" s="198" t="s">
        <v>29</v>
      </c>
      <c r="B14" s="38" t="s">
        <v>30</v>
      </c>
      <c r="C14" s="58">
        <v>5</v>
      </c>
      <c r="D14" s="58">
        <v>0.12</v>
      </c>
      <c r="E14" s="53">
        <v>0.1</v>
      </c>
      <c r="F14" s="58">
        <v>0.08</v>
      </c>
      <c r="G14" s="58">
        <v>0.06</v>
      </c>
      <c r="H14" s="58">
        <v>0.08</v>
      </c>
      <c r="I14" s="62">
        <f>'При №3 а'!P34</f>
        <v>0.32292301123657352</v>
      </c>
      <c r="J14" s="59">
        <f t="shared" si="0"/>
        <v>403.65376404571691</v>
      </c>
      <c r="K14" s="59">
        <f t="shared" si="1"/>
        <v>20.182688202285846</v>
      </c>
    </row>
    <row r="15" spans="1:11" s="55" customFormat="1" ht="20.25" customHeight="1">
      <c r="A15" s="198" t="s">
        <v>31</v>
      </c>
      <c r="B15" s="38" t="s">
        <v>32</v>
      </c>
      <c r="C15" s="58">
        <v>10</v>
      </c>
      <c r="D15" s="58">
        <v>190.8</v>
      </c>
      <c r="E15" s="58">
        <v>120.3</v>
      </c>
      <c r="F15" s="61">
        <v>69</v>
      </c>
      <c r="G15" s="61">
        <v>69</v>
      </c>
      <c r="H15" s="61">
        <v>69</v>
      </c>
      <c r="I15" s="61">
        <f>'При №3 а'!P38</f>
        <v>18.011837634449748</v>
      </c>
      <c r="J15" s="59">
        <f>H15/I15*100</f>
        <v>383.08140124486482</v>
      </c>
      <c r="K15" s="59">
        <f t="shared" si="1"/>
        <v>38.308140124486478</v>
      </c>
    </row>
    <row r="16" spans="1:11" s="55" customFormat="1" ht="20.25" customHeight="1">
      <c r="A16" s="198" t="s">
        <v>33</v>
      </c>
      <c r="B16" s="38" t="s">
        <v>34</v>
      </c>
      <c r="C16" s="58">
        <v>10</v>
      </c>
      <c r="D16" s="58">
        <v>75.8</v>
      </c>
      <c r="E16" s="58">
        <v>32.299999999999997</v>
      </c>
      <c r="F16" s="58">
        <v>10.4</v>
      </c>
      <c r="G16" s="58">
        <v>7.8</v>
      </c>
      <c r="H16" s="58">
        <v>10.4</v>
      </c>
      <c r="I16" s="61">
        <f>'При №3 а'!P42</f>
        <v>8.5718608008190813</v>
      </c>
      <c r="J16" s="59">
        <f>H16/I16*100</f>
        <v>121.32721519470115</v>
      </c>
      <c r="K16" s="59">
        <f t="shared" si="1"/>
        <v>12.132721519470115</v>
      </c>
    </row>
    <row r="17" spans="1:11" s="55" customFormat="1" ht="20.25" customHeight="1">
      <c r="A17" s="198" t="s">
        <v>35</v>
      </c>
      <c r="B17" s="38" t="s">
        <v>36</v>
      </c>
      <c r="C17" s="58">
        <v>5</v>
      </c>
      <c r="D17" s="58">
        <v>1.1200000000000001</v>
      </c>
      <c r="E17" s="58">
        <v>1.1100000000000001</v>
      </c>
      <c r="F17" s="58">
        <v>1.02</v>
      </c>
      <c r="G17" s="58">
        <v>1.02</v>
      </c>
      <c r="H17" s="58">
        <v>1.02</v>
      </c>
      <c r="I17" s="53">
        <f>'При №3 а'!P46</f>
        <v>1.1701362740413728</v>
      </c>
      <c r="J17" s="59">
        <f t="shared" si="0"/>
        <v>114.71924255307574</v>
      </c>
      <c r="K17" s="59">
        <f t="shared" si="1"/>
        <v>5.7359621276537869</v>
      </c>
    </row>
    <row r="18" spans="1:11" s="55" customFormat="1" ht="20.25" customHeight="1" thickBot="1">
      <c r="A18" s="198" t="s">
        <v>37</v>
      </c>
      <c r="B18" s="38" t="s">
        <v>38</v>
      </c>
      <c r="C18" s="58">
        <v>10</v>
      </c>
      <c r="D18" s="58">
        <v>0</v>
      </c>
      <c r="E18" s="58">
        <v>0</v>
      </c>
      <c r="F18" s="58">
        <v>0</v>
      </c>
      <c r="G18" s="53">
        <v>0.3</v>
      </c>
      <c r="H18" s="76">
        <v>0.16</v>
      </c>
      <c r="I18" s="53">
        <f>'При №3 а'!P50</f>
        <v>0.16657433427163082</v>
      </c>
      <c r="J18" s="59">
        <f t="shared" si="0"/>
        <v>104.10895891976925</v>
      </c>
      <c r="K18" s="59">
        <f t="shared" si="1"/>
        <v>10.410895891976924</v>
      </c>
    </row>
    <row r="19" spans="1:11" s="55" customFormat="1" ht="21.75" customHeight="1">
      <c r="A19" s="328" t="s">
        <v>41</v>
      </c>
      <c r="B19" s="328"/>
      <c r="C19" s="197">
        <v>100</v>
      </c>
      <c r="D19" s="197"/>
      <c r="E19" s="197"/>
      <c r="F19" s="197"/>
      <c r="G19" s="197"/>
      <c r="H19" s="58"/>
      <c r="I19" s="58"/>
      <c r="J19" s="58"/>
      <c r="K19" s="59">
        <f>SUM(K7:K18)</f>
        <v>413.43372470405996</v>
      </c>
    </row>
    <row r="20" spans="1:11" s="55" customFormat="1" ht="25.5" customHeight="1">
      <c r="A20" s="306"/>
      <c r="B20" s="306"/>
      <c r="C20" s="306"/>
      <c r="D20" s="306"/>
      <c r="E20" s="306"/>
      <c r="F20" s="306"/>
      <c r="G20" s="306"/>
      <c r="H20" s="306"/>
      <c r="I20" s="306"/>
      <c r="J20" s="306"/>
      <c r="K20" s="306"/>
    </row>
    <row r="21" spans="1:11" s="64" customFormat="1" ht="18.75">
      <c r="B21" s="64" t="s">
        <v>269</v>
      </c>
      <c r="C21" s="65"/>
    </row>
    <row r="22" spans="1:11" s="64" customFormat="1" ht="18.75">
      <c r="B22" s="64" t="s">
        <v>276</v>
      </c>
      <c r="C22" s="327" t="s">
        <v>270</v>
      </c>
      <c r="D22" s="327"/>
      <c r="E22" s="327"/>
      <c r="F22" s="327"/>
      <c r="G22" s="327"/>
      <c r="H22" s="327"/>
      <c r="I22" s="327"/>
      <c r="J22" s="327"/>
    </row>
    <row r="23" spans="1:11" s="64" customFormat="1" ht="18.75">
      <c r="C23" s="200"/>
      <c r="D23" s="200"/>
      <c r="E23" s="200"/>
      <c r="F23" s="200"/>
    </row>
    <row r="24" spans="1:11" s="64" customFormat="1" ht="18.75">
      <c r="B24" s="64" t="s">
        <v>271</v>
      </c>
      <c r="C24" s="327" t="s">
        <v>250</v>
      </c>
      <c r="D24" s="327"/>
      <c r="E24" s="327"/>
      <c r="F24" s="327"/>
      <c r="G24" s="327"/>
      <c r="H24" s="327"/>
      <c r="I24" s="327"/>
      <c r="J24" s="327"/>
    </row>
    <row r="25" spans="1:11" s="64" customFormat="1" ht="18.75">
      <c r="C25" s="65"/>
    </row>
    <row r="26" spans="1:11" s="64" customFormat="1" ht="18.75">
      <c r="B26" s="64" t="s">
        <v>277</v>
      </c>
      <c r="C26" s="327" t="s">
        <v>278</v>
      </c>
      <c r="D26" s="327"/>
      <c r="E26" s="327"/>
      <c r="F26" s="327"/>
      <c r="G26" s="327"/>
      <c r="H26" s="327"/>
      <c r="I26" s="327"/>
    </row>
    <row r="34" spans="1:11">
      <c r="A34" s="307" t="s">
        <v>3</v>
      </c>
      <c r="B34" s="307"/>
      <c r="C34" s="307"/>
      <c r="D34" s="307"/>
      <c r="E34" s="307"/>
      <c r="F34" s="307"/>
      <c r="G34" s="307"/>
      <c r="H34" s="307"/>
      <c r="I34" s="307"/>
      <c r="J34" s="307"/>
      <c r="K34" s="307"/>
    </row>
    <row r="35" spans="1:11">
      <c r="A35" s="307" t="s">
        <v>4</v>
      </c>
      <c r="B35" s="307"/>
      <c r="C35" s="307"/>
      <c r="D35" s="307"/>
      <c r="E35" s="307"/>
      <c r="F35" s="307"/>
      <c r="G35" s="307"/>
      <c r="H35" s="307"/>
      <c r="I35" s="307"/>
      <c r="J35" s="307"/>
      <c r="K35" s="307"/>
    </row>
    <row r="36" spans="1:11" s="55" customFormat="1" ht="18" customHeight="1">
      <c r="A36" s="308" t="s">
        <v>5</v>
      </c>
      <c r="B36" s="308"/>
      <c r="C36" s="308"/>
      <c r="D36" s="308"/>
      <c r="E36" s="308"/>
      <c r="F36" s="308"/>
      <c r="G36" s="308"/>
      <c r="H36" s="308"/>
      <c r="I36" s="308"/>
      <c r="J36" s="308"/>
      <c r="K36" s="308"/>
    </row>
    <row r="37" spans="1:11" s="55" customFormat="1" ht="19.5" thickBot="1">
      <c r="A37" s="308" t="s">
        <v>252</v>
      </c>
      <c r="B37" s="308"/>
      <c r="C37" s="308"/>
      <c r="D37" s="308"/>
      <c r="E37" s="308"/>
      <c r="F37" s="308"/>
      <c r="G37" s="308"/>
      <c r="H37" s="308"/>
      <c r="I37" s="308"/>
      <c r="J37" s="308"/>
      <c r="K37" s="308"/>
    </row>
    <row r="38" spans="1:11" s="55" customFormat="1" ht="53.25" customHeight="1" thickBot="1">
      <c r="A38" s="170" t="s">
        <v>6</v>
      </c>
      <c r="B38" s="170" t="s">
        <v>7</v>
      </c>
      <c r="C38" s="197" t="s">
        <v>184</v>
      </c>
      <c r="D38" s="197" t="s">
        <v>230</v>
      </c>
      <c r="E38" s="197" t="s">
        <v>231</v>
      </c>
      <c r="F38" s="197" t="s">
        <v>232</v>
      </c>
      <c r="G38" s="197" t="s">
        <v>233</v>
      </c>
      <c r="H38" s="197" t="s">
        <v>221</v>
      </c>
      <c r="I38" s="196" t="s">
        <v>185</v>
      </c>
      <c r="J38" s="108" t="s">
        <v>186</v>
      </c>
      <c r="K38" s="169" t="s">
        <v>8</v>
      </c>
    </row>
    <row r="39" spans="1:11" s="55" customFormat="1" ht="15.75" thickBot="1">
      <c r="A39" s="170"/>
      <c r="B39" s="170" t="s">
        <v>9</v>
      </c>
      <c r="C39" s="197" t="s">
        <v>10</v>
      </c>
      <c r="D39" s="197"/>
      <c r="E39" s="197"/>
      <c r="F39" s="197"/>
      <c r="G39" s="197"/>
      <c r="H39" s="197" t="s">
        <v>11</v>
      </c>
      <c r="I39" s="196" t="s">
        <v>12</v>
      </c>
      <c r="J39" s="108" t="s">
        <v>13</v>
      </c>
      <c r="K39" s="169" t="s">
        <v>14</v>
      </c>
    </row>
    <row r="40" spans="1:11" s="55" customFormat="1" ht="30" customHeight="1" thickBot="1">
      <c r="A40" s="202" t="s">
        <v>15</v>
      </c>
      <c r="B40" s="203" t="s">
        <v>16</v>
      </c>
      <c r="C40" s="58">
        <v>10</v>
      </c>
      <c r="D40" s="58">
        <v>590036</v>
      </c>
      <c r="E40" s="58">
        <v>1727390</v>
      </c>
      <c r="F40" s="58">
        <v>2469678</v>
      </c>
      <c r="G40" s="58">
        <v>2951195</v>
      </c>
      <c r="H40" s="153">
        <f>590036*1.05</f>
        <v>619537.80000000005</v>
      </c>
      <c r="I40" s="153">
        <v>1183400</v>
      </c>
      <c r="J40" s="59">
        <f>I40/H40*100</f>
        <v>191.01336512477528</v>
      </c>
      <c r="K40" s="204">
        <f>J40*C40/100</f>
        <v>19.101336512477527</v>
      </c>
    </row>
    <row r="41" spans="1:11" s="55" customFormat="1" ht="22.5" customHeight="1" thickBot="1">
      <c r="A41" s="205" t="s">
        <v>17</v>
      </c>
      <c r="B41" s="206" t="s">
        <v>18</v>
      </c>
      <c r="C41" s="58">
        <v>10</v>
      </c>
      <c r="D41" s="58">
        <v>9.7000000000000003E-2</v>
      </c>
      <c r="E41" s="58">
        <v>8.3000000000000004E-2</v>
      </c>
      <c r="F41" s="58">
        <v>8.2000000000000003E-2</v>
      </c>
      <c r="G41" s="58">
        <v>8.2000000000000003E-2</v>
      </c>
      <c r="H41" s="39">
        <v>8.2000000000000003E-2</v>
      </c>
      <c r="I41" s="207">
        <f>7655452/91068655</f>
        <v>8.4062425210957595E-2</v>
      </c>
      <c r="J41" s="61">
        <f>I41/H41*100</f>
        <v>102.51515269628975</v>
      </c>
      <c r="K41" s="204">
        <f t="shared" ref="K41:K51" si="2">J41*C41/100</f>
        <v>10.251515269628975</v>
      </c>
    </row>
    <row r="42" spans="1:11" s="55" customFormat="1" ht="30" customHeight="1" thickBot="1">
      <c r="A42" s="205" t="s">
        <v>19</v>
      </c>
      <c r="B42" s="206" t="s">
        <v>20</v>
      </c>
      <c r="C42" s="58">
        <v>10</v>
      </c>
      <c r="D42" s="58">
        <v>0.02</v>
      </c>
      <c r="E42" s="58">
        <v>0.04</v>
      </c>
      <c r="F42" s="58">
        <v>0.06</v>
      </c>
      <c r="G42" s="58">
        <v>0.08</v>
      </c>
      <c r="H42" s="58">
        <v>0.08</v>
      </c>
      <c r="I42" s="53">
        <f>1586715/((5379433+6841301)/2)</f>
        <v>0.25967589180813527</v>
      </c>
      <c r="J42" s="61">
        <f t="shared" ref="J42:J51" si="3">I42/H42*100</f>
        <v>324.59486476016906</v>
      </c>
      <c r="K42" s="204">
        <f t="shared" si="2"/>
        <v>32.459486476016906</v>
      </c>
    </row>
    <row r="43" spans="1:11" s="55" customFormat="1" ht="20.25" customHeight="1" thickBot="1">
      <c r="A43" s="205" t="s">
        <v>21</v>
      </c>
      <c r="B43" s="206" t="s">
        <v>22</v>
      </c>
      <c r="C43" s="58">
        <v>10</v>
      </c>
      <c r="D43" s="58">
        <v>0.18</v>
      </c>
      <c r="E43" s="58">
        <v>0.35</v>
      </c>
      <c r="F43" s="58">
        <v>0.53</v>
      </c>
      <c r="G43" s="58">
        <v>0.7</v>
      </c>
      <c r="H43" s="53">
        <v>7.0000000000000007E-2</v>
      </c>
      <c r="I43" s="53">
        <f>1586715/639863</f>
        <v>2.4797730139107901</v>
      </c>
      <c r="J43" s="61">
        <f t="shared" si="3"/>
        <v>3542.5328770154138</v>
      </c>
      <c r="K43" s="208">
        <f t="shared" si="2"/>
        <v>354.25328770154141</v>
      </c>
    </row>
    <row r="44" spans="1:11" s="55" customFormat="1" ht="20.25" customHeight="1" thickBot="1">
      <c r="A44" s="205" t="s">
        <v>23</v>
      </c>
      <c r="B44" s="206" t="s">
        <v>24</v>
      </c>
      <c r="C44" s="58">
        <v>10</v>
      </c>
      <c r="D44" s="58">
        <v>0</v>
      </c>
      <c r="E44" s="58">
        <v>0</v>
      </c>
      <c r="F44" s="58">
        <v>0</v>
      </c>
      <c r="G44" s="58">
        <v>0.16</v>
      </c>
      <c r="H44" s="58">
        <v>0.16</v>
      </c>
      <c r="I44" s="53">
        <v>1.24</v>
      </c>
      <c r="J44" s="59">
        <f t="shared" si="3"/>
        <v>775</v>
      </c>
      <c r="K44" s="208">
        <f t="shared" si="2"/>
        <v>77.5</v>
      </c>
    </row>
    <row r="45" spans="1:11" s="55" customFormat="1" ht="20.25" customHeight="1" thickBot="1">
      <c r="A45" s="205" t="s">
        <v>25</v>
      </c>
      <c r="B45" s="206" t="s">
        <v>26</v>
      </c>
      <c r="C45" s="58">
        <v>5</v>
      </c>
      <c r="D45" s="58">
        <v>3.0000000000000001E-3</v>
      </c>
      <c r="E45" s="58">
        <v>5.0000000000000001E-3</v>
      </c>
      <c r="F45" s="58">
        <v>7.0000000000000001E-3</v>
      </c>
      <c r="G45" s="58">
        <v>8.9999999999999993E-3</v>
      </c>
      <c r="H45" s="58">
        <v>8.9999999999999993E-3</v>
      </c>
      <c r="I45" s="63">
        <v>0.03</v>
      </c>
      <c r="J45" s="61">
        <f t="shared" si="3"/>
        <v>333.33333333333337</v>
      </c>
      <c r="K45" s="204">
        <f t="shared" si="2"/>
        <v>16.666666666666671</v>
      </c>
    </row>
    <row r="46" spans="1:11" s="55" customFormat="1" ht="20.25" customHeight="1" thickBot="1">
      <c r="A46" s="205" t="s">
        <v>27</v>
      </c>
      <c r="B46" s="206" t="s">
        <v>28</v>
      </c>
      <c r="C46" s="58">
        <v>5</v>
      </c>
      <c r="D46" s="58">
        <v>0.17</v>
      </c>
      <c r="E46" s="58">
        <v>0.15</v>
      </c>
      <c r="F46" s="58">
        <v>0.13</v>
      </c>
      <c r="G46" s="58">
        <v>0.11</v>
      </c>
      <c r="H46" s="63">
        <v>0.11</v>
      </c>
      <c r="I46" s="63">
        <v>0.03</v>
      </c>
      <c r="J46" s="61">
        <f t="shared" si="3"/>
        <v>27.27272727272727</v>
      </c>
      <c r="K46" s="204">
        <f t="shared" si="2"/>
        <v>1.3636363636363635</v>
      </c>
    </row>
    <row r="47" spans="1:11" s="55" customFormat="1" ht="20.25" customHeight="1" thickBot="1">
      <c r="A47" s="205" t="s">
        <v>29</v>
      </c>
      <c r="B47" s="206" t="s">
        <v>30</v>
      </c>
      <c r="C47" s="58">
        <v>5</v>
      </c>
      <c r="D47" s="58">
        <v>0.12</v>
      </c>
      <c r="E47" s="53">
        <v>0.1</v>
      </c>
      <c r="F47" s="58">
        <v>0.08</v>
      </c>
      <c r="G47" s="58">
        <v>0.06</v>
      </c>
      <c r="H47" s="58">
        <v>0.06</v>
      </c>
      <c r="I47" s="58">
        <v>0.13</v>
      </c>
      <c r="J47" s="61">
        <f t="shared" si="3"/>
        <v>216.66666666666669</v>
      </c>
      <c r="K47" s="204">
        <f t="shared" si="2"/>
        <v>10.833333333333336</v>
      </c>
    </row>
    <row r="48" spans="1:11" s="55" customFormat="1" ht="20.25" customHeight="1" thickBot="1">
      <c r="A48" s="205" t="s">
        <v>31</v>
      </c>
      <c r="B48" s="206" t="s">
        <v>32</v>
      </c>
      <c r="C48" s="58">
        <v>10</v>
      </c>
      <c r="D48" s="58">
        <v>190.8</v>
      </c>
      <c r="E48" s="58">
        <v>120.3</v>
      </c>
      <c r="F48" s="61">
        <v>69</v>
      </c>
      <c r="G48" s="61">
        <v>69</v>
      </c>
      <c r="H48" s="61">
        <v>60</v>
      </c>
      <c r="I48" s="61">
        <v>37.56</v>
      </c>
      <c r="J48" s="61">
        <f t="shared" si="3"/>
        <v>62.6</v>
      </c>
      <c r="K48" s="204">
        <f t="shared" si="2"/>
        <v>6.26</v>
      </c>
    </row>
    <row r="49" spans="1:11" s="55" customFormat="1" ht="20.25" customHeight="1" thickBot="1">
      <c r="A49" s="205" t="s">
        <v>33</v>
      </c>
      <c r="B49" s="206" t="s">
        <v>34</v>
      </c>
      <c r="C49" s="58">
        <v>10</v>
      </c>
      <c r="D49" s="58">
        <v>75.8</v>
      </c>
      <c r="E49" s="58">
        <v>32.299999999999997</v>
      </c>
      <c r="F49" s="58">
        <v>10.4</v>
      </c>
      <c r="G49" s="58">
        <v>7.8</v>
      </c>
      <c r="H49" s="58">
        <v>7.8</v>
      </c>
      <c r="I49" s="58">
        <v>15.7</v>
      </c>
      <c r="J49" s="61">
        <f t="shared" si="3"/>
        <v>201.28205128205127</v>
      </c>
      <c r="K49" s="204">
        <f t="shared" si="2"/>
        <v>20.128205128205128</v>
      </c>
    </row>
    <row r="50" spans="1:11" s="55" customFormat="1" ht="20.25" customHeight="1" thickBot="1">
      <c r="A50" s="205" t="s">
        <v>35</v>
      </c>
      <c r="B50" s="206" t="s">
        <v>36</v>
      </c>
      <c r="C50" s="58">
        <v>5</v>
      </c>
      <c r="D50" s="58">
        <v>1.1200000000000001</v>
      </c>
      <c r="E50" s="58">
        <v>1.1100000000000001</v>
      </c>
      <c r="F50" s="58">
        <v>1.02</v>
      </c>
      <c r="G50" s="58">
        <v>1.02</v>
      </c>
      <c r="H50" s="58">
        <v>1.01</v>
      </c>
      <c r="I50" s="58">
        <v>1</v>
      </c>
      <c r="J50" s="61">
        <f t="shared" si="3"/>
        <v>99.009900990099013</v>
      </c>
      <c r="K50" s="204">
        <f t="shared" si="2"/>
        <v>4.9504950495049505</v>
      </c>
    </row>
    <row r="51" spans="1:11" s="55" customFormat="1" ht="20.25" customHeight="1" thickBot="1">
      <c r="A51" s="209" t="s">
        <v>37</v>
      </c>
      <c r="B51" s="210" t="s">
        <v>38</v>
      </c>
      <c r="C51" s="178">
        <v>10</v>
      </c>
      <c r="D51" s="178">
        <v>0</v>
      </c>
      <c r="E51" s="178">
        <v>0</v>
      </c>
      <c r="F51" s="178">
        <v>0</v>
      </c>
      <c r="G51" s="54">
        <v>0.3</v>
      </c>
      <c r="H51" s="54">
        <v>0.3</v>
      </c>
      <c r="I51" s="54">
        <v>0.5</v>
      </c>
      <c r="J51" s="211">
        <f t="shared" si="3"/>
        <v>166.66666666666669</v>
      </c>
      <c r="K51" s="212">
        <f t="shared" si="2"/>
        <v>16.666666666666671</v>
      </c>
    </row>
    <row r="52" spans="1:11" s="55" customFormat="1" ht="21.75" customHeight="1" thickBot="1">
      <c r="A52" s="329" t="s">
        <v>41</v>
      </c>
      <c r="B52" s="330"/>
      <c r="C52" s="199">
        <v>100</v>
      </c>
      <c r="D52" s="199"/>
      <c r="E52" s="199"/>
      <c r="F52" s="199"/>
      <c r="G52" s="199"/>
      <c r="H52" s="154"/>
      <c r="I52" s="154"/>
      <c r="J52" s="154"/>
      <c r="K52" s="213">
        <f>SUM(K40:K51)</f>
        <v>570.43462916767794</v>
      </c>
    </row>
    <row r="53" spans="1:11" s="55" customFormat="1" ht="25.5" customHeight="1">
      <c r="A53" s="306"/>
      <c r="B53" s="306"/>
      <c r="C53" s="306"/>
      <c r="D53" s="306"/>
      <c r="E53" s="306"/>
      <c r="F53" s="306"/>
      <c r="G53" s="306"/>
      <c r="H53" s="306"/>
      <c r="I53" s="306"/>
      <c r="J53" s="306"/>
      <c r="K53" s="306"/>
    </row>
    <row r="54" spans="1:11" s="64" customFormat="1" ht="18.75">
      <c r="B54" s="64" t="s">
        <v>246</v>
      </c>
      <c r="C54" s="65"/>
    </row>
    <row r="55" spans="1:11" s="64" customFormat="1" ht="18.75">
      <c r="B55" s="64" t="s">
        <v>247</v>
      </c>
      <c r="C55" s="327" t="s">
        <v>249</v>
      </c>
      <c r="D55" s="327"/>
      <c r="E55" s="327"/>
      <c r="F55" s="327"/>
      <c r="G55" s="327"/>
      <c r="H55" s="327"/>
      <c r="I55" s="327"/>
      <c r="J55" s="327"/>
    </row>
    <row r="56" spans="1:11" s="64" customFormat="1" ht="18.75">
      <c r="C56" s="200"/>
      <c r="D56" s="200"/>
      <c r="E56" s="200"/>
      <c r="F56" s="200"/>
    </row>
    <row r="57" spans="1:11" s="64" customFormat="1" ht="18.75">
      <c r="B57" s="64" t="s">
        <v>248</v>
      </c>
      <c r="C57" s="327" t="s">
        <v>250</v>
      </c>
      <c r="D57" s="327"/>
      <c r="E57" s="327"/>
      <c r="F57" s="327"/>
      <c r="G57" s="327"/>
      <c r="H57" s="327"/>
      <c r="I57" s="327"/>
      <c r="J57" s="327"/>
    </row>
    <row r="58" spans="1:11" s="64" customFormat="1" ht="18.75">
      <c r="C58" s="65"/>
    </row>
    <row r="59" spans="1:11" s="64" customFormat="1" ht="18.75">
      <c r="B59" s="64" t="s">
        <v>251</v>
      </c>
      <c r="C59" s="65"/>
    </row>
  </sheetData>
  <mergeCells count="17">
    <mergeCell ref="C55:J55"/>
    <mergeCell ref="C57:J57"/>
    <mergeCell ref="A34:K34"/>
    <mergeCell ref="A35:K35"/>
    <mergeCell ref="A36:K36"/>
    <mergeCell ref="A37:K37"/>
    <mergeCell ref="A52:B52"/>
    <mergeCell ref="A1:K1"/>
    <mergeCell ref="A2:K2"/>
    <mergeCell ref="A3:K3"/>
    <mergeCell ref="A4:K4"/>
    <mergeCell ref="A53:K53"/>
    <mergeCell ref="C26:I26"/>
    <mergeCell ref="C22:J22"/>
    <mergeCell ref="C24:J24"/>
    <mergeCell ref="A20:K20"/>
    <mergeCell ref="A19:B19"/>
  </mergeCells>
  <pageMargins left="0.70866141732283472" right="0.49" top="0.31" bottom="0.28000000000000003" header="0.31496062992125984" footer="0.31496062992125984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01"/>
  <sheetViews>
    <sheetView workbookViewId="0">
      <selection activeCell="R44" sqref="R44"/>
    </sheetView>
  </sheetViews>
  <sheetFormatPr defaultRowHeight="15"/>
  <cols>
    <col min="1" max="1" width="17.7109375" customWidth="1"/>
    <col min="2" max="2" width="10" customWidth="1"/>
    <col min="3" max="3" width="50.28515625" customWidth="1"/>
    <col min="4" max="4" width="25.140625" customWidth="1"/>
    <col min="5" max="5" width="26.85546875" customWidth="1"/>
    <col min="7" max="12" width="9.5703125" style="18" hidden="1" customWidth="1"/>
    <col min="13" max="13" width="11.5703125" style="18" hidden="1" customWidth="1"/>
    <col min="14" max="14" width="11.5703125" style="138" hidden="1" customWidth="1"/>
    <col min="15" max="15" width="11.5703125" style="18" customWidth="1"/>
  </cols>
  <sheetData>
    <row r="1" spans="1:16">
      <c r="A1" s="338" t="s">
        <v>126</v>
      </c>
      <c r="B1" s="338"/>
      <c r="C1" s="338"/>
      <c r="D1" s="338"/>
      <c r="E1" s="338"/>
    </row>
    <row r="2" spans="1:16">
      <c r="A2" s="338" t="s">
        <v>4</v>
      </c>
      <c r="B2" s="338"/>
      <c r="C2" s="338"/>
      <c r="D2" s="338"/>
      <c r="E2" s="338"/>
    </row>
    <row r="3" spans="1:16" ht="18.75">
      <c r="A3" s="339" t="s">
        <v>58</v>
      </c>
      <c r="B3" s="339"/>
      <c r="C3" s="339"/>
      <c r="D3" s="339"/>
      <c r="E3" s="339"/>
    </row>
    <row r="4" spans="1:16" ht="18.75">
      <c r="A4" s="339" t="s">
        <v>187</v>
      </c>
      <c r="B4" s="339"/>
      <c r="C4" s="339"/>
      <c r="D4" s="339"/>
      <c r="E4" s="339"/>
    </row>
    <row r="5" spans="1:16" ht="16.5" thickBot="1">
      <c r="A5" s="1" t="s">
        <v>62</v>
      </c>
      <c r="B5" s="1"/>
    </row>
    <row r="6" spans="1:16" ht="33.75" customHeight="1" thickBot="1">
      <c r="A6" s="5" t="s">
        <v>7</v>
      </c>
      <c r="B6" s="10" t="s">
        <v>210</v>
      </c>
      <c r="C6" s="5" t="s">
        <v>59</v>
      </c>
      <c r="D6" s="5" t="s">
        <v>188</v>
      </c>
      <c r="E6" s="5" t="s">
        <v>60</v>
      </c>
      <c r="G6" s="33" t="s">
        <v>222</v>
      </c>
      <c r="H6" s="33" t="s">
        <v>223</v>
      </c>
      <c r="I6" s="33" t="s">
        <v>224</v>
      </c>
      <c r="J6" s="33" t="s">
        <v>225</v>
      </c>
      <c r="K6" s="33" t="s">
        <v>253</v>
      </c>
      <c r="L6" s="33" t="s">
        <v>257</v>
      </c>
      <c r="M6" s="33" t="s">
        <v>258</v>
      </c>
      <c r="N6" s="139" t="s">
        <v>273</v>
      </c>
      <c r="O6" s="33" t="s">
        <v>280</v>
      </c>
    </row>
    <row r="7" spans="1:16" ht="22.5" customHeight="1">
      <c r="A7" s="331" t="s">
        <v>43</v>
      </c>
      <c r="B7" s="23">
        <f>B8/B9</f>
        <v>0.64885823725658742</v>
      </c>
      <c r="C7" s="8" t="s">
        <v>127</v>
      </c>
      <c r="D7" s="340" t="s">
        <v>130</v>
      </c>
      <c r="E7" s="334" t="s">
        <v>131</v>
      </c>
      <c r="F7" s="32"/>
      <c r="G7" s="34">
        <f>G8/G9</f>
        <v>0.60850595879342251</v>
      </c>
      <c r="H7" s="34">
        <f>H8/H9</f>
        <v>0.62968003981104392</v>
      </c>
      <c r="I7" s="21">
        <f>I8/I9</f>
        <v>0.64885823725658742</v>
      </c>
      <c r="J7" s="21">
        <f>J8/J9</f>
        <v>0.66858923949281768</v>
      </c>
      <c r="K7" s="116">
        <f>K8/K9</f>
        <v>0.71195746860381792</v>
      </c>
      <c r="L7" s="116">
        <v>0.35</v>
      </c>
      <c r="M7" s="116">
        <f>M8/M9</f>
        <v>0.37179061227974441</v>
      </c>
      <c r="N7" s="116">
        <f>N8/N9</f>
        <v>0.45866974611840217</v>
      </c>
      <c r="O7" s="134">
        <f>O8/O9</f>
        <v>0.57185353622631241</v>
      </c>
      <c r="P7" s="218"/>
    </row>
    <row r="8" spans="1:16" ht="36" customHeight="1">
      <c r="A8" s="332"/>
      <c r="B8" s="12">
        <v>7373516</v>
      </c>
      <c r="C8" s="8" t="s">
        <v>128</v>
      </c>
      <c r="D8" s="340"/>
      <c r="E8" s="334"/>
      <c r="F8" s="32"/>
      <c r="G8" s="35">
        <v>6903550</v>
      </c>
      <c r="H8" s="35">
        <v>7140299</v>
      </c>
      <c r="I8" s="69">
        <v>7373516</v>
      </c>
      <c r="J8" s="35">
        <v>7606733</v>
      </c>
      <c r="K8" s="117">
        <v>8696008</v>
      </c>
      <c r="L8" s="117"/>
      <c r="M8" s="73">
        <v>9924721</v>
      </c>
      <c r="N8" s="146">
        <v>12210334</v>
      </c>
      <c r="O8" s="124">
        <v>23686886</v>
      </c>
      <c r="P8" s="218"/>
    </row>
    <row r="9" spans="1:16" ht="51" customHeight="1">
      <c r="A9" s="333"/>
      <c r="B9" s="13">
        <v>11363832</v>
      </c>
      <c r="C9" s="8" t="s">
        <v>129</v>
      </c>
      <c r="D9" s="340"/>
      <c r="E9" s="334"/>
      <c r="F9" s="32"/>
      <c r="G9" s="35">
        <v>11345082</v>
      </c>
      <c r="H9" s="35">
        <v>11339567</v>
      </c>
      <c r="I9" s="69">
        <v>11363832</v>
      </c>
      <c r="J9" s="69">
        <f>(J11-I11)+I9</f>
        <v>11377289</v>
      </c>
      <c r="K9" s="117">
        <v>12214224</v>
      </c>
      <c r="L9" s="117"/>
      <c r="M9" s="73">
        <v>26694383</v>
      </c>
      <c r="N9" s="146">
        <v>26621189</v>
      </c>
      <c r="O9" s="124">
        <v>41421246</v>
      </c>
      <c r="P9" s="218"/>
    </row>
    <row r="10" spans="1:16" ht="21" customHeight="1">
      <c r="A10" s="331" t="s">
        <v>44</v>
      </c>
      <c r="B10" s="24">
        <f>B11/B12</f>
        <v>2.772128275039617E-3</v>
      </c>
      <c r="C10" s="9" t="s">
        <v>132</v>
      </c>
      <c r="D10" s="331" t="s">
        <v>189</v>
      </c>
      <c r="E10" s="334" t="s">
        <v>135</v>
      </c>
      <c r="F10" s="32"/>
      <c r="G10" s="36">
        <f>G11/G12</f>
        <v>3.5539628536840898E-4</v>
      </c>
      <c r="H10" s="36">
        <f>H11/H12</f>
        <v>5.9102785847113916E-4</v>
      </c>
      <c r="I10" s="24">
        <f>I11/I12</f>
        <v>2.772128275039617E-3</v>
      </c>
      <c r="J10" s="24">
        <f>J11/J12</f>
        <v>3.9516443680036603E-3</v>
      </c>
      <c r="K10" s="118">
        <f>K11/K12</f>
        <v>0</v>
      </c>
      <c r="L10" s="118">
        <v>8.5199999999999998E-2</v>
      </c>
      <c r="M10" s="119">
        <f>M11/M12</f>
        <v>0.87628349337034939</v>
      </c>
      <c r="N10" s="118">
        <f>N11/N12</f>
        <v>4.721465797830871E-3</v>
      </c>
      <c r="O10" s="135">
        <f>O11/O12</f>
        <v>1.0165633267848403E-2</v>
      </c>
    </row>
    <row r="11" spans="1:16" ht="53.25" customHeight="1">
      <c r="A11" s="332"/>
      <c r="B11" s="22">
        <v>31502</v>
      </c>
      <c r="C11" s="6" t="s">
        <v>133</v>
      </c>
      <c r="D11" s="332"/>
      <c r="E11" s="334"/>
      <c r="F11" s="32"/>
      <c r="G11" s="35">
        <v>4032</v>
      </c>
      <c r="H11" s="35">
        <v>6702</v>
      </c>
      <c r="I11" s="71">
        <v>31502</v>
      </c>
      <c r="J11" s="35">
        <f>31502+13457</f>
        <v>44959</v>
      </c>
      <c r="K11" s="120">
        <v>0</v>
      </c>
      <c r="L11" s="120">
        <v>0</v>
      </c>
      <c r="M11" s="120">
        <v>14694978</v>
      </c>
      <c r="N11" s="126">
        <v>68040.358999999997</v>
      </c>
      <c r="O11" s="124">
        <v>180281</v>
      </c>
      <c r="P11" s="218"/>
    </row>
    <row r="12" spans="1:16" ht="62.25" customHeight="1">
      <c r="A12" s="333"/>
      <c r="B12" s="14">
        <v>11363832</v>
      </c>
      <c r="C12" s="6" t="s">
        <v>134</v>
      </c>
      <c r="D12" s="333"/>
      <c r="E12" s="334"/>
      <c r="F12" s="32"/>
      <c r="G12" s="35">
        <f>G9</f>
        <v>11345082</v>
      </c>
      <c r="H12" s="35">
        <f>H9</f>
        <v>11339567</v>
      </c>
      <c r="I12" s="35">
        <f>I9</f>
        <v>11363832</v>
      </c>
      <c r="J12" s="35">
        <f>J9</f>
        <v>11377289</v>
      </c>
      <c r="K12" s="120">
        <v>3518216</v>
      </c>
      <c r="L12" s="120"/>
      <c r="M12" s="120">
        <v>16769662</v>
      </c>
      <c r="N12" s="117">
        <v>14410855</v>
      </c>
      <c r="O12" s="124">
        <v>17734360</v>
      </c>
      <c r="P12" s="218"/>
    </row>
    <row r="13" spans="1:16" ht="17.25" customHeight="1">
      <c r="A13" s="334" t="s">
        <v>45</v>
      </c>
      <c r="B13" s="15">
        <f>B14/B15</f>
        <v>124041.05753968254</v>
      </c>
      <c r="C13" s="6" t="s">
        <v>136</v>
      </c>
      <c r="D13" s="334" t="s">
        <v>190</v>
      </c>
      <c r="E13" s="335" t="s">
        <v>191</v>
      </c>
      <c r="F13" s="32"/>
      <c r="G13" s="27">
        <f t="shared" ref="G13:H13" si="0">G14/G15</f>
        <v>33072.745794392526</v>
      </c>
      <c r="H13" s="27">
        <f t="shared" si="0"/>
        <v>72543.988785046735</v>
      </c>
      <c r="I13" s="27">
        <f>I14/I15</f>
        <v>116853.63177570094</v>
      </c>
      <c r="J13" s="27">
        <f>J14/J15</f>
        <v>155804.84236760126</v>
      </c>
      <c r="K13" s="121">
        <f>K14/K15</f>
        <v>86176.022429906545</v>
      </c>
      <c r="L13" s="121">
        <v>11464</v>
      </c>
      <c r="M13" s="121">
        <f>M14/M15</f>
        <v>175659.93835616438</v>
      </c>
      <c r="N13" s="121">
        <f>N14/N15</f>
        <v>209348.81227436822</v>
      </c>
      <c r="O13" s="136">
        <f>O14/O15</f>
        <v>321617.05967078189</v>
      </c>
    </row>
    <row r="14" spans="1:16" ht="66.75" customHeight="1">
      <c r="A14" s="334"/>
      <c r="B14" s="14">
        <v>62516693</v>
      </c>
      <c r="C14" s="6" t="s">
        <v>137</v>
      </c>
      <c r="D14" s="334"/>
      <c r="E14" s="335"/>
      <c r="F14" s="32"/>
      <c r="G14" s="35">
        <v>17693919</v>
      </c>
      <c r="H14" s="35">
        <v>38811034</v>
      </c>
      <c r="I14" s="69">
        <v>62516693</v>
      </c>
      <c r="J14" s="37">
        <f>I14/3*4</f>
        <v>83355590.666666672</v>
      </c>
      <c r="K14" s="117">
        <v>46104172</v>
      </c>
      <c r="L14" s="117"/>
      <c r="M14" s="122">
        <v>102585404</v>
      </c>
      <c r="N14" s="147">
        <v>115979242</v>
      </c>
      <c r="O14" s="121">
        <v>156305891</v>
      </c>
      <c r="P14" s="218"/>
    </row>
    <row r="15" spans="1:16" ht="81" customHeight="1">
      <c r="A15" s="334"/>
      <c r="B15" s="22">
        <v>504</v>
      </c>
      <c r="C15" s="56" t="s">
        <v>138</v>
      </c>
      <c r="D15" s="334"/>
      <c r="E15" s="335"/>
      <c r="F15" s="32"/>
      <c r="G15" s="35">
        <v>535</v>
      </c>
      <c r="H15" s="35">
        <v>535</v>
      </c>
      <c r="I15" s="71">
        <v>535</v>
      </c>
      <c r="J15" s="71">
        <v>535</v>
      </c>
      <c r="K15" s="117">
        <v>535</v>
      </c>
      <c r="L15" s="117"/>
      <c r="M15" s="73">
        <v>584</v>
      </c>
      <c r="N15" s="146">
        <v>554</v>
      </c>
      <c r="O15" s="124">
        <v>486</v>
      </c>
      <c r="P15" s="218"/>
    </row>
    <row r="16" spans="1:16">
      <c r="A16" s="334" t="s">
        <v>46</v>
      </c>
      <c r="B16" s="17">
        <f>B17/B19</f>
        <v>5.5058848137383141</v>
      </c>
      <c r="C16" s="6" t="s">
        <v>139</v>
      </c>
      <c r="D16" s="334" t="s">
        <v>144</v>
      </c>
      <c r="E16" s="334" t="s">
        <v>145</v>
      </c>
      <c r="F16" s="32"/>
      <c r="G16" s="17">
        <f t="shared" ref="G16:H16" si="1">G17/G19</f>
        <v>1.559981538282496</v>
      </c>
      <c r="H16" s="17">
        <f t="shared" si="1"/>
        <v>3.4209369247953805</v>
      </c>
      <c r="I16" s="17">
        <f>I17/I19</f>
        <v>5.5058848137383141</v>
      </c>
      <c r="J16" s="17">
        <f>J17/J19</f>
        <v>7.3308251309745609</v>
      </c>
      <c r="K16" s="123">
        <f>K17/K19</f>
        <v>12.236121983362239</v>
      </c>
      <c r="L16" s="123">
        <v>6.3</v>
      </c>
      <c r="M16" s="123">
        <f>M17/M19</f>
        <v>9.8700574079379155</v>
      </c>
      <c r="N16" s="123">
        <f>N17/N19</f>
        <v>7.153798324422433</v>
      </c>
      <c r="O16" s="123">
        <f>O17/O19</f>
        <v>8.6715245715974785</v>
      </c>
    </row>
    <row r="17" spans="1:16" s="94" customFormat="1" ht="59.25" customHeight="1">
      <c r="A17" s="334"/>
      <c r="B17" s="99">
        <v>62516693</v>
      </c>
      <c r="C17" s="90" t="s">
        <v>268</v>
      </c>
      <c r="D17" s="334"/>
      <c r="E17" s="334"/>
      <c r="F17" s="100"/>
      <c r="G17" s="93">
        <f>G14</f>
        <v>17693919</v>
      </c>
      <c r="H17" s="93">
        <f>H14</f>
        <v>38811034</v>
      </c>
      <c r="I17" s="93">
        <f t="shared" ref="I17:J17" si="2">I14</f>
        <v>62516693</v>
      </c>
      <c r="J17" s="131">
        <f t="shared" si="2"/>
        <v>83355590.666666672</v>
      </c>
      <c r="K17" s="127">
        <f>K14</f>
        <v>46104172</v>
      </c>
      <c r="L17" s="127">
        <f>L14</f>
        <v>0</v>
      </c>
      <c r="M17" s="132">
        <f>M14</f>
        <v>102585404</v>
      </c>
      <c r="N17" s="148">
        <f>N14</f>
        <v>115979242</v>
      </c>
      <c r="O17" s="215">
        <f>O14</f>
        <v>156305891</v>
      </c>
      <c r="P17" s="219"/>
    </row>
    <row r="18" spans="1:16" ht="39">
      <c r="A18" s="334"/>
      <c r="B18" s="14"/>
      <c r="C18" s="6" t="s">
        <v>141</v>
      </c>
      <c r="D18" s="334"/>
      <c r="E18" s="334"/>
      <c r="F18" s="32"/>
      <c r="G18" s="35"/>
      <c r="H18" s="35"/>
      <c r="I18" s="69"/>
      <c r="J18" s="35"/>
      <c r="K18" s="73"/>
      <c r="L18" s="73"/>
      <c r="M18" s="73"/>
      <c r="N18" s="146"/>
      <c r="O18" s="133"/>
      <c r="P18" s="218"/>
    </row>
    <row r="19" spans="1:16">
      <c r="A19" s="334"/>
      <c r="B19" s="15">
        <f>(11345213+11363832)/2</f>
        <v>11354522.5</v>
      </c>
      <c r="C19" s="6" t="s">
        <v>142</v>
      </c>
      <c r="D19" s="334"/>
      <c r="E19" s="334"/>
      <c r="F19" s="32"/>
      <c r="G19" s="27">
        <f>(11345213+11339567)/2</f>
        <v>11342390</v>
      </c>
      <c r="H19" s="27">
        <f>(11345213+11345082)/2</f>
        <v>11345147.5</v>
      </c>
      <c r="I19" s="27">
        <f>(11345213+11363832)/2</f>
        <v>11354522.5</v>
      </c>
      <c r="J19" s="37">
        <f>(11363832+11377289)/2</f>
        <v>11370560.5</v>
      </c>
      <c r="K19" s="117">
        <f>(4017533+3518216)/2</f>
        <v>3767874.5</v>
      </c>
      <c r="L19" s="117"/>
      <c r="M19" s="122">
        <f>(4017533+16769662)/2</f>
        <v>10393597.5</v>
      </c>
      <c r="N19" s="147">
        <f>(18013666+14410855)/2</f>
        <v>16212260.5</v>
      </c>
      <c r="O19" s="121">
        <f>(18316023+O12)/2</f>
        <v>18025191.5</v>
      </c>
      <c r="P19" s="218"/>
    </row>
    <row r="20" spans="1:16" ht="43.5" customHeight="1">
      <c r="A20" s="334"/>
      <c r="B20" s="14"/>
      <c r="C20" s="6" t="s">
        <v>143</v>
      </c>
      <c r="D20" s="334"/>
      <c r="E20" s="334"/>
      <c r="F20" s="32"/>
      <c r="G20" s="35"/>
      <c r="H20" s="35"/>
      <c r="I20" s="69"/>
      <c r="J20" s="35"/>
      <c r="K20" s="73"/>
      <c r="L20" s="73"/>
      <c r="M20" s="73"/>
      <c r="N20" s="146"/>
      <c r="O20" s="133"/>
      <c r="P20" s="218"/>
    </row>
    <row r="21" spans="1:16" ht="26.25">
      <c r="A21" s="334" t="s">
        <v>47</v>
      </c>
      <c r="B21" s="17">
        <f>B22/B23</f>
        <v>0.7</v>
      </c>
      <c r="C21" s="6" t="s">
        <v>146</v>
      </c>
      <c r="D21" s="334" t="s">
        <v>150</v>
      </c>
      <c r="E21" s="334" t="s">
        <v>151</v>
      </c>
      <c r="F21" s="32"/>
      <c r="G21" s="16">
        <f t="shared" ref="G21:H21" si="3">G22/G23</f>
        <v>0.70000000000000007</v>
      </c>
      <c r="H21" s="16">
        <f t="shared" si="3"/>
        <v>0.7</v>
      </c>
      <c r="I21" s="16">
        <f>I22/I23</f>
        <v>0.7</v>
      </c>
      <c r="J21" s="16">
        <f>J22/J23</f>
        <v>0.70000000000000007</v>
      </c>
      <c r="K21" s="124">
        <f>K22/K23</f>
        <v>0.71</v>
      </c>
      <c r="L21" s="124">
        <v>0.71</v>
      </c>
      <c r="M21" s="125">
        <f>M22/M23</f>
        <v>0.86399999999999999</v>
      </c>
      <c r="N21" s="116">
        <f>N22/N23</f>
        <v>0.86599999999999999</v>
      </c>
      <c r="O21" s="125">
        <f>O22/O23</f>
        <v>0.96400000000000019</v>
      </c>
    </row>
    <row r="22" spans="1:16" ht="39">
      <c r="A22" s="334"/>
      <c r="B22" s="14">
        <v>62516693</v>
      </c>
      <c r="C22" s="6" t="s">
        <v>147</v>
      </c>
      <c r="D22" s="334"/>
      <c r="E22" s="334"/>
      <c r="F22" s="32"/>
      <c r="G22" s="35">
        <f>G17</f>
        <v>17693919</v>
      </c>
      <c r="H22" s="35">
        <f>H17</f>
        <v>38811034</v>
      </c>
      <c r="I22" s="35">
        <f>I17</f>
        <v>62516693</v>
      </c>
      <c r="J22" s="37">
        <f>J17</f>
        <v>83355590.666666672</v>
      </c>
      <c r="K22" s="117">
        <v>46104172</v>
      </c>
      <c r="L22" s="117"/>
      <c r="M22" s="122">
        <f>M17</f>
        <v>102585404</v>
      </c>
      <c r="N22" s="147">
        <f>N17</f>
        <v>115979242</v>
      </c>
      <c r="O22" s="121">
        <f>O17</f>
        <v>156305891</v>
      </c>
      <c r="P22" s="57"/>
    </row>
    <row r="23" spans="1:16" ht="77.25">
      <c r="A23" s="334"/>
      <c r="B23" s="25">
        <f>B22/70*100</f>
        <v>89309561.428571433</v>
      </c>
      <c r="C23" s="6" t="s">
        <v>219</v>
      </c>
      <c r="D23" s="334"/>
      <c r="E23" s="334"/>
      <c r="F23" s="32"/>
      <c r="G23" s="25">
        <f t="shared" ref="G23:H23" si="4">G22/70*100</f>
        <v>25277027.142857142</v>
      </c>
      <c r="H23" s="25">
        <f t="shared" si="4"/>
        <v>55444334.285714291</v>
      </c>
      <c r="I23" s="25">
        <f>I22/70*100</f>
        <v>89309561.428571433</v>
      </c>
      <c r="J23" s="25">
        <f>J22/70*100</f>
        <v>119079415.23809524</v>
      </c>
      <c r="K23" s="126">
        <f>K22/71*100</f>
        <v>64935453.521126762</v>
      </c>
      <c r="L23" s="126"/>
      <c r="M23" s="122">
        <f>M22/86.4*100</f>
        <v>118733106.48148148</v>
      </c>
      <c r="N23" s="147">
        <f>N22/86.6*100</f>
        <v>133925221.70900694</v>
      </c>
      <c r="O23" s="121">
        <f>O22/96.4*100</f>
        <v>162143040.45643151</v>
      </c>
      <c r="P23" s="218"/>
    </row>
    <row r="24" spans="1:16" ht="26.25">
      <c r="A24" s="334"/>
      <c r="B24" s="14">
        <v>0</v>
      </c>
      <c r="C24" s="6" t="s">
        <v>148</v>
      </c>
      <c r="D24" s="334"/>
      <c r="E24" s="334"/>
      <c r="F24" s="32"/>
      <c r="G24" s="69">
        <v>0</v>
      </c>
      <c r="H24" s="69">
        <v>0</v>
      </c>
      <c r="I24" s="69">
        <v>0</v>
      </c>
      <c r="J24" s="69">
        <v>0</v>
      </c>
      <c r="K24" s="73"/>
      <c r="L24" s="73"/>
      <c r="M24" s="73"/>
      <c r="N24" s="146"/>
      <c r="O24" s="73"/>
    </row>
    <row r="25" spans="1:16" ht="32.25" customHeight="1">
      <c r="A25" s="334"/>
      <c r="B25" s="14">
        <v>0</v>
      </c>
      <c r="C25" s="6" t="s">
        <v>149</v>
      </c>
      <c r="D25" s="334"/>
      <c r="E25" s="334"/>
      <c r="F25" s="32"/>
      <c r="G25" s="69">
        <v>0</v>
      </c>
      <c r="H25" s="69">
        <v>0</v>
      </c>
      <c r="I25" s="69">
        <v>0</v>
      </c>
      <c r="J25" s="69">
        <v>0</v>
      </c>
      <c r="K25" s="73"/>
      <c r="L25" s="73"/>
      <c r="M25" s="73"/>
      <c r="N25" s="146"/>
      <c r="O25" s="73"/>
    </row>
    <row r="26" spans="1:16">
      <c r="A26" s="334" t="s">
        <v>48</v>
      </c>
      <c r="B26" s="16">
        <f>B27/B28</f>
        <v>1.8199763213522492E-2</v>
      </c>
      <c r="C26" s="6" t="s">
        <v>152</v>
      </c>
      <c r="D26" s="331" t="s">
        <v>192</v>
      </c>
      <c r="E26" s="334" t="s">
        <v>155</v>
      </c>
      <c r="F26" s="32"/>
      <c r="G26" s="16">
        <f t="shared" ref="G26" si="5">G27/G28</f>
        <v>0.04</v>
      </c>
      <c r="H26" s="16">
        <f>H27/H28</f>
        <v>0.03</v>
      </c>
      <c r="I26" s="16">
        <f>I27/I28</f>
        <v>0.03</v>
      </c>
      <c r="J26" s="16">
        <f>J27/J28</f>
        <v>0.04</v>
      </c>
      <c r="K26" s="124">
        <f>K27/K28</f>
        <v>2.9000000000000005E-2</v>
      </c>
      <c r="L26" s="124">
        <v>2.8000000000000001E-2</v>
      </c>
      <c r="M26" s="119">
        <f>M27/M28</f>
        <v>2.75E-2</v>
      </c>
      <c r="N26" s="119">
        <f>N27/N28</f>
        <v>2.7500000000000004E-2</v>
      </c>
      <c r="O26" s="119">
        <f>O27/O28</f>
        <v>2.75E-2</v>
      </c>
    </row>
    <row r="27" spans="1:16" ht="58.5" customHeight="1">
      <c r="A27" s="334"/>
      <c r="B27" s="14">
        <v>1018215</v>
      </c>
      <c r="C27" s="6" t="s">
        <v>153</v>
      </c>
      <c r="D27" s="332"/>
      <c r="E27" s="334"/>
      <c r="F27" s="32"/>
      <c r="G27" s="27">
        <f>G28*0.04</f>
        <v>624304.24</v>
      </c>
      <c r="H27" s="27">
        <f>H28*0.03</f>
        <v>1037829.9299999999</v>
      </c>
      <c r="I27" s="27">
        <f>I28*0.03</f>
        <v>1678398.21</v>
      </c>
      <c r="J27" s="27">
        <f>J28*0.04</f>
        <v>2983819.04</v>
      </c>
      <c r="K27" s="126">
        <f>K28*0.029</f>
        <v>1106951.3730000001</v>
      </c>
      <c r="L27" s="126"/>
      <c r="M27" s="73">
        <f>M28*0.0275</f>
        <v>2446126.1</v>
      </c>
      <c r="N27" s="147">
        <f>N28*0.0275</f>
        <v>2811749.5725000002</v>
      </c>
      <c r="O27" s="124">
        <f>O28*0.0275</f>
        <v>3552335.3525</v>
      </c>
      <c r="P27" s="218"/>
    </row>
    <row r="28" spans="1:16" ht="32.25" customHeight="1">
      <c r="A28" s="334"/>
      <c r="B28" s="14">
        <v>55946607</v>
      </c>
      <c r="C28" s="6" t="s">
        <v>154</v>
      </c>
      <c r="D28" s="333"/>
      <c r="E28" s="334"/>
      <c r="F28" s="32"/>
      <c r="G28" s="35">
        <v>15607606</v>
      </c>
      <c r="H28" s="35">
        <v>34594331</v>
      </c>
      <c r="I28" s="69">
        <v>55946607</v>
      </c>
      <c r="J28" s="35">
        <f>I28/3*4</f>
        <v>74595476</v>
      </c>
      <c r="K28" s="117">
        <v>38170737</v>
      </c>
      <c r="L28" s="117"/>
      <c r="M28" s="73">
        <v>88950040</v>
      </c>
      <c r="N28" s="146">
        <v>102245439</v>
      </c>
      <c r="O28" s="124">
        <v>129175831</v>
      </c>
      <c r="P28" s="218"/>
    </row>
    <row r="29" spans="1:16">
      <c r="A29" s="334" t="s">
        <v>49</v>
      </c>
      <c r="B29" s="14"/>
      <c r="C29" s="6" t="s">
        <v>156</v>
      </c>
      <c r="D29" s="3" t="s">
        <v>160</v>
      </c>
      <c r="E29" s="334" t="s">
        <v>164</v>
      </c>
      <c r="F29" s="32"/>
      <c r="G29" s="35"/>
      <c r="H29" s="35"/>
      <c r="I29" s="69"/>
      <c r="J29" s="35"/>
      <c r="K29" s="73"/>
      <c r="L29" s="73"/>
      <c r="M29" s="73">
        <v>0</v>
      </c>
      <c r="N29" s="146">
        <v>0</v>
      </c>
      <c r="O29" s="73">
        <v>0</v>
      </c>
    </row>
    <row r="30" spans="1:16" ht="26.25">
      <c r="A30" s="334"/>
      <c r="B30" s="14">
        <v>0</v>
      </c>
      <c r="C30" s="6" t="s">
        <v>157</v>
      </c>
      <c r="D30" s="3" t="s">
        <v>161</v>
      </c>
      <c r="E30" s="334"/>
      <c r="F30" s="32"/>
      <c r="G30" s="69">
        <v>0</v>
      </c>
      <c r="H30" s="69">
        <v>0</v>
      </c>
      <c r="I30" s="69">
        <v>0</v>
      </c>
      <c r="J30" s="69">
        <v>0</v>
      </c>
      <c r="K30" s="117">
        <v>0</v>
      </c>
      <c r="L30" s="117">
        <v>0</v>
      </c>
      <c r="M30" s="73"/>
      <c r="N30" s="146"/>
      <c r="O30" s="73"/>
    </row>
    <row r="31" spans="1:16" ht="26.25">
      <c r="A31" s="334"/>
      <c r="B31" s="14">
        <v>0</v>
      </c>
      <c r="C31" s="6" t="s">
        <v>158</v>
      </c>
      <c r="D31" s="3" t="s">
        <v>162</v>
      </c>
      <c r="E31" s="334"/>
      <c r="F31" s="32"/>
      <c r="G31" s="69">
        <v>0</v>
      </c>
      <c r="H31" s="69">
        <v>0</v>
      </c>
      <c r="I31" s="69">
        <v>0</v>
      </c>
      <c r="J31" s="69">
        <v>0</v>
      </c>
      <c r="K31" s="117">
        <v>0</v>
      </c>
      <c r="L31" s="117">
        <v>0</v>
      </c>
      <c r="M31" s="73"/>
      <c r="N31" s="146"/>
      <c r="O31" s="73"/>
    </row>
    <row r="32" spans="1:16" ht="38.25">
      <c r="A32" s="334"/>
      <c r="C32" s="5" t="s">
        <v>159</v>
      </c>
      <c r="D32" s="3" t="s">
        <v>163</v>
      </c>
      <c r="E32" s="334"/>
      <c r="F32" s="32"/>
      <c r="G32" s="73"/>
      <c r="H32" s="73"/>
      <c r="I32" s="73"/>
      <c r="J32" s="35"/>
      <c r="K32" s="117"/>
      <c r="L32" s="117"/>
      <c r="M32" s="73"/>
      <c r="N32" s="146"/>
      <c r="O32" s="73"/>
    </row>
    <row r="33" spans="1:16">
      <c r="A33" s="334" t="s">
        <v>165</v>
      </c>
      <c r="B33" s="14"/>
      <c r="C33" s="6" t="s">
        <v>166</v>
      </c>
      <c r="D33" s="334" t="s">
        <v>170</v>
      </c>
      <c r="E33" s="334" t="s">
        <v>171</v>
      </c>
      <c r="F33" s="32"/>
      <c r="G33" s="69"/>
      <c r="H33" s="69"/>
      <c r="I33" s="69"/>
      <c r="J33" s="35"/>
      <c r="K33" s="117"/>
      <c r="L33" s="117"/>
      <c r="M33" s="73">
        <v>0</v>
      </c>
      <c r="N33" s="146">
        <v>0</v>
      </c>
      <c r="O33" s="73">
        <v>0</v>
      </c>
    </row>
    <row r="34" spans="1:16" ht="26.25">
      <c r="A34" s="334"/>
      <c r="B34" s="14">
        <v>0</v>
      </c>
      <c r="C34" s="6" t="s">
        <v>167</v>
      </c>
      <c r="D34" s="334"/>
      <c r="E34" s="334"/>
      <c r="F34" s="32"/>
      <c r="G34" s="69">
        <v>0</v>
      </c>
      <c r="H34" s="69">
        <v>0</v>
      </c>
      <c r="I34" s="69">
        <v>0</v>
      </c>
      <c r="J34" s="69">
        <v>0</v>
      </c>
      <c r="K34" s="117">
        <v>0</v>
      </c>
      <c r="L34" s="117">
        <v>0</v>
      </c>
      <c r="M34" s="73"/>
      <c r="N34" s="146"/>
      <c r="O34" s="73"/>
    </row>
    <row r="35" spans="1:16">
      <c r="A35" s="334"/>
      <c r="B35" s="14">
        <v>0</v>
      </c>
      <c r="C35" s="6" t="s">
        <v>168</v>
      </c>
      <c r="D35" s="334"/>
      <c r="E35" s="334"/>
      <c r="F35" s="32"/>
      <c r="G35" s="69">
        <v>0</v>
      </c>
      <c r="H35" s="69">
        <v>0</v>
      </c>
      <c r="I35" s="69">
        <v>0</v>
      </c>
      <c r="J35" s="69">
        <v>0</v>
      </c>
      <c r="K35" s="117">
        <v>0</v>
      </c>
      <c r="L35" s="117">
        <v>0</v>
      </c>
      <c r="M35" s="73"/>
      <c r="N35" s="146"/>
      <c r="O35" s="73"/>
    </row>
    <row r="36" spans="1:16" ht="38.25">
      <c r="A36" s="334"/>
      <c r="B36" s="14"/>
      <c r="C36" s="5" t="s">
        <v>169</v>
      </c>
      <c r="D36" s="334"/>
      <c r="E36" s="334"/>
      <c r="F36" s="32"/>
      <c r="G36" s="35"/>
      <c r="H36" s="35"/>
      <c r="I36" s="69"/>
      <c r="J36" s="35"/>
      <c r="K36" s="73"/>
      <c r="L36" s="73"/>
      <c r="M36" s="73"/>
      <c r="N36" s="146"/>
      <c r="O36" s="73"/>
    </row>
    <row r="37" spans="1:16" ht="18" customHeight="1">
      <c r="A37" s="334" t="s">
        <v>51</v>
      </c>
      <c r="B37" s="17">
        <f>B38/B39</f>
        <v>15.782976190476191</v>
      </c>
      <c r="C37" s="6" t="s">
        <v>172</v>
      </c>
      <c r="D37" s="331" t="s">
        <v>195</v>
      </c>
      <c r="E37" s="331" t="s">
        <v>174</v>
      </c>
      <c r="F37" s="32"/>
      <c r="G37" s="17">
        <f t="shared" ref="G37:H37" si="6">G38/G39</f>
        <v>4.9561495327102802</v>
      </c>
      <c r="H37" s="17">
        <f t="shared" si="6"/>
        <v>9.9122990654205605</v>
      </c>
      <c r="I37" s="17">
        <f>I38/I39</f>
        <v>14.868448598130842</v>
      </c>
      <c r="J37" s="17">
        <f>J38/J39</f>
        <v>19.824598130841121</v>
      </c>
      <c r="K37" s="123">
        <f>K38/K39</f>
        <v>11.398971962616821</v>
      </c>
      <c r="L37" s="123">
        <v>8.9</v>
      </c>
      <c r="M37" s="123">
        <f>M38/M39</f>
        <v>17.979452054794521</v>
      </c>
      <c r="N37" s="123">
        <f>N38/N39</f>
        <v>19.542719614921779</v>
      </c>
      <c r="O37" s="216">
        <f>O38/O39</f>
        <v>34.012345679012348</v>
      </c>
      <c r="P37" s="218"/>
    </row>
    <row r="38" spans="1:16" ht="26.25">
      <c r="A38" s="334"/>
      <c r="B38" s="15">
        <v>7954.62</v>
      </c>
      <c r="C38" s="6" t="s">
        <v>173</v>
      </c>
      <c r="D38" s="332"/>
      <c r="E38" s="332"/>
      <c r="F38" s="32"/>
      <c r="G38" s="37">
        <f>I38/3</f>
        <v>2651.54</v>
      </c>
      <c r="H38" s="37">
        <f>I38/3*2</f>
        <v>5303.08</v>
      </c>
      <c r="I38" s="27">
        <v>7954.62</v>
      </c>
      <c r="J38" s="37">
        <f>I38/3*4</f>
        <v>10606.16</v>
      </c>
      <c r="K38" s="117">
        <v>6098.45</v>
      </c>
      <c r="L38" s="117"/>
      <c r="M38" s="73">
        <v>10500</v>
      </c>
      <c r="N38" s="147">
        <f>8120/3*4</f>
        <v>10826.666666666666</v>
      </c>
      <c r="O38" s="124">
        <v>16530</v>
      </c>
      <c r="P38" s="218"/>
    </row>
    <row r="39" spans="1:16" ht="29.25" customHeight="1">
      <c r="A39" s="334"/>
      <c r="B39" s="14">
        <v>504</v>
      </c>
      <c r="C39" s="6" t="s">
        <v>138</v>
      </c>
      <c r="D39" s="333"/>
      <c r="E39" s="333"/>
      <c r="F39" s="32"/>
      <c r="G39" s="35">
        <v>535</v>
      </c>
      <c r="H39" s="35">
        <v>535</v>
      </c>
      <c r="I39" s="69">
        <v>535</v>
      </c>
      <c r="J39" s="35">
        <v>535</v>
      </c>
      <c r="K39" s="117">
        <v>535</v>
      </c>
      <c r="L39" s="117"/>
      <c r="M39" s="73">
        <v>584</v>
      </c>
      <c r="N39" s="146">
        <v>554</v>
      </c>
      <c r="O39" s="124">
        <v>486</v>
      </c>
      <c r="P39" s="218"/>
    </row>
    <row r="40" spans="1:16" ht="21.75" customHeight="1">
      <c r="A40" s="334" t="s">
        <v>52</v>
      </c>
      <c r="B40" s="16">
        <f>509/498</f>
        <v>1.0220883534136547</v>
      </c>
      <c r="C40" s="6" t="s">
        <v>175</v>
      </c>
      <c r="D40" s="334" t="s">
        <v>177</v>
      </c>
      <c r="E40" s="334" t="s">
        <v>178</v>
      </c>
      <c r="F40" s="32"/>
      <c r="G40" s="34">
        <f>510/545</f>
        <v>0.93577981651376152</v>
      </c>
      <c r="H40" s="34">
        <f>545/710</f>
        <v>0.76760563380281688</v>
      </c>
      <c r="I40" s="16">
        <f>710/611</f>
        <v>1.1620294599018004</v>
      </c>
      <c r="J40" s="16">
        <f>611/580</f>
        <v>1.0534482758620689</v>
      </c>
      <c r="K40" s="116">
        <f>554/712</f>
        <v>0.7780898876404494</v>
      </c>
      <c r="L40" s="116">
        <v>0.91</v>
      </c>
      <c r="M40" s="116">
        <f>576/554</f>
        <v>1.03971119133574</v>
      </c>
      <c r="N40" s="116">
        <f>554/620</f>
        <v>0.8935483870967742</v>
      </c>
      <c r="O40" s="134">
        <f>554/510</f>
        <v>1.0862745098039215</v>
      </c>
      <c r="P40" s="218"/>
    </row>
    <row r="41" spans="1:16" s="98" customFormat="1" ht="45" customHeight="1">
      <c r="A41" s="334"/>
      <c r="B41" s="95" t="s">
        <v>236</v>
      </c>
      <c r="C41" s="128" t="s">
        <v>267</v>
      </c>
      <c r="D41" s="334"/>
      <c r="E41" s="334"/>
      <c r="F41" s="96"/>
      <c r="G41" s="97" t="s">
        <v>235</v>
      </c>
      <c r="H41" s="97" t="s">
        <v>238</v>
      </c>
      <c r="I41" s="95" t="s">
        <v>239</v>
      </c>
      <c r="J41" s="97" t="s">
        <v>237</v>
      </c>
      <c r="K41" s="129" t="s">
        <v>255</v>
      </c>
      <c r="L41" s="129"/>
      <c r="M41" s="130" t="s">
        <v>259</v>
      </c>
      <c r="N41" s="149" t="s">
        <v>274</v>
      </c>
      <c r="O41" s="130" t="s">
        <v>279</v>
      </c>
      <c r="P41" s="220"/>
    </row>
    <row r="42" spans="1:16" ht="68.25" customHeight="1">
      <c r="A42" s="3" t="s">
        <v>179</v>
      </c>
      <c r="B42" s="14">
        <v>0</v>
      </c>
      <c r="C42" s="3" t="s">
        <v>180</v>
      </c>
      <c r="D42" s="3" t="s">
        <v>181</v>
      </c>
      <c r="E42" s="3" t="s">
        <v>125</v>
      </c>
      <c r="F42" s="32"/>
      <c r="G42" s="69">
        <v>0</v>
      </c>
      <c r="H42" s="69">
        <v>0</v>
      </c>
      <c r="I42" s="69">
        <v>0</v>
      </c>
      <c r="J42" s="69">
        <v>0</v>
      </c>
      <c r="K42" s="73">
        <v>0</v>
      </c>
      <c r="L42" s="73">
        <v>0</v>
      </c>
      <c r="M42" s="73">
        <v>0</v>
      </c>
      <c r="N42" s="146">
        <v>0</v>
      </c>
      <c r="O42" s="73">
        <v>0</v>
      </c>
    </row>
    <row r="43" spans="1:16" ht="79.5" customHeight="1">
      <c r="A43" s="14" t="s">
        <v>220</v>
      </c>
      <c r="B43" s="14">
        <v>0</v>
      </c>
      <c r="C43" s="3" t="s">
        <v>182</v>
      </c>
      <c r="D43" s="3" t="s">
        <v>181</v>
      </c>
      <c r="E43" s="3" t="s">
        <v>125</v>
      </c>
      <c r="F43" s="32"/>
      <c r="G43" s="69">
        <v>0</v>
      </c>
      <c r="H43" s="69">
        <v>0</v>
      </c>
      <c r="I43" s="69">
        <v>0</v>
      </c>
      <c r="J43" s="69">
        <v>0</v>
      </c>
      <c r="K43" s="73">
        <v>0</v>
      </c>
      <c r="L43" s="73">
        <v>0</v>
      </c>
      <c r="M43" s="73">
        <v>0</v>
      </c>
      <c r="N43" s="146">
        <v>0</v>
      </c>
      <c r="O43" s="73">
        <v>0</v>
      </c>
    </row>
    <row r="44" spans="1:16" ht="54.75" customHeight="1">
      <c r="A44" s="3" t="s">
        <v>55</v>
      </c>
      <c r="B44" s="14">
        <v>0</v>
      </c>
      <c r="C44" s="3" t="s">
        <v>183</v>
      </c>
      <c r="D44" s="3" t="s">
        <v>181</v>
      </c>
      <c r="E44" s="3" t="s">
        <v>125</v>
      </c>
      <c r="F44" s="32"/>
      <c r="G44" s="69">
        <v>0</v>
      </c>
      <c r="H44" s="69">
        <v>0</v>
      </c>
      <c r="I44" s="69">
        <v>0</v>
      </c>
      <c r="J44" s="69">
        <v>0</v>
      </c>
      <c r="K44" s="73">
        <v>0</v>
      </c>
      <c r="L44" s="73">
        <v>0</v>
      </c>
      <c r="M44" s="73">
        <v>0</v>
      </c>
      <c r="N44" s="146">
        <v>0</v>
      </c>
      <c r="O44" s="73">
        <v>0</v>
      </c>
    </row>
    <row r="45" spans="1:16" ht="15.75">
      <c r="A45" s="4" t="s">
        <v>62</v>
      </c>
      <c r="B45" s="4"/>
      <c r="C45" s="2"/>
      <c r="D45" s="2"/>
      <c r="E45" s="2"/>
      <c r="N45" s="150"/>
    </row>
    <row r="46" spans="1:16" ht="15.75">
      <c r="A46" s="4"/>
      <c r="B46" s="4"/>
      <c r="C46" s="2"/>
      <c r="D46" s="2"/>
      <c r="E46" s="2"/>
      <c r="N46" s="150"/>
    </row>
    <row r="47" spans="1:16" ht="15.75">
      <c r="A47" s="336" t="s">
        <v>193</v>
      </c>
      <c r="B47" s="336"/>
      <c r="C47" s="336"/>
      <c r="D47" s="336"/>
      <c r="E47" s="336"/>
      <c r="N47" s="150"/>
    </row>
    <row r="48" spans="1:16" ht="15.75">
      <c r="A48" s="341" t="s">
        <v>194</v>
      </c>
      <c r="B48" s="341"/>
      <c r="C48" s="341"/>
      <c r="D48" s="341"/>
      <c r="E48" s="341"/>
      <c r="N48" s="150"/>
    </row>
    <row r="49" spans="1:14" ht="15.75">
      <c r="A49" s="4"/>
      <c r="B49" s="4"/>
      <c r="C49" s="2"/>
      <c r="D49" s="2"/>
      <c r="E49" s="2"/>
      <c r="N49" s="150"/>
    </row>
    <row r="50" spans="1:14" ht="15.75">
      <c r="A50" s="4"/>
      <c r="B50" s="4"/>
      <c r="C50" s="2"/>
      <c r="D50" s="2"/>
      <c r="E50" s="2"/>
      <c r="N50" s="150"/>
    </row>
    <row r="51" spans="1:14" ht="15.75">
      <c r="A51" s="337"/>
      <c r="B51" s="337"/>
      <c r="C51" s="337"/>
      <c r="D51" s="337"/>
      <c r="E51" s="337"/>
      <c r="N51" s="150"/>
    </row>
    <row r="52" spans="1:14" ht="15.75">
      <c r="A52" s="337"/>
      <c r="B52" s="337"/>
      <c r="C52" s="337"/>
      <c r="D52" s="337"/>
      <c r="E52" s="337"/>
      <c r="N52" s="150"/>
    </row>
    <row r="53" spans="1:14">
      <c r="A53" s="342" t="s">
        <v>126</v>
      </c>
      <c r="B53" s="342"/>
      <c r="C53" s="342"/>
      <c r="D53" s="342"/>
      <c r="E53" s="342"/>
      <c r="N53" s="150"/>
    </row>
    <row r="54" spans="1:14">
      <c r="A54" s="342" t="s">
        <v>4</v>
      </c>
      <c r="B54" s="342"/>
      <c r="C54" s="342"/>
      <c r="D54" s="342"/>
      <c r="E54" s="342"/>
      <c r="N54" s="150"/>
    </row>
    <row r="55" spans="1:14" ht="18.75">
      <c r="A55" s="343" t="s">
        <v>58</v>
      </c>
      <c r="B55" s="343"/>
      <c r="C55" s="343"/>
      <c r="D55" s="343"/>
      <c r="E55" s="343"/>
      <c r="N55" s="150"/>
    </row>
    <row r="56" spans="1:14" ht="18.75">
      <c r="A56" s="343" t="s">
        <v>245</v>
      </c>
      <c r="B56" s="343"/>
      <c r="C56" s="343"/>
      <c r="D56" s="343"/>
      <c r="E56" s="343"/>
      <c r="N56" s="150"/>
    </row>
    <row r="57" spans="1:14" ht="16.5" thickBot="1">
      <c r="A57" s="47" t="s">
        <v>62</v>
      </c>
      <c r="B57" s="47"/>
      <c r="C57" s="48"/>
      <c r="D57" s="48"/>
      <c r="E57" s="48"/>
      <c r="N57" s="150"/>
    </row>
    <row r="58" spans="1:14" ht="33.75" customHeight="1" thickBot="1">
      <c r="A58" s="49" t="s">
        <v>7</v>
      </c>
      <c r="B58" s="50" t="s">
        <v>210</v>
      </c>
      <c r="C58" s="49" t="s">
        <v>59</v>
      </c>
      <c r="D58" s="49" t="s">
        <v>188</v>
      </c>
      <c r="E58" s="49" t="s">
        <v>60</v>
      </c>
      <c r="G58" s="33" t="s">
        <v>222</v>
      </c>
      <c r="H58" s="33" t="s">
        <v>223</v>
      </c>
      <c r="I58" s="33" t="s">
        <v>224</v>
      </c>
      <c r="J58" s="33" t="s">
        <v>225</v>
      </c>
    </row>
    <row r="59" spans="1:14" ht="22.5" customHeight="1">
      <c r="A59" s="331" t="s">
        <v>43</v>
      </c>
      <c r="B59" s="23">
        <f>B60/B61</f>
        <v>0.64885823725658742</v>
      </c>
      <c r="C59" s="8" t="s">
        <v>127</v>
      </c>
      <c r="D59" s="344" t="s">
        <v>130</v>
      </c>
      <c r="E59" s="334" t="s">
        <v>131</v>
      </c>
      <c r="F59" s="32"/>
      <c r="G59" s="34">
        <f>G60/G61</f>
        <v>0.60850595879342251</v>
      </c>
      <c r="H59" s="34">
        <f>H60/H61</f>
        <v>0.62968003981104392</v>
      </c>
      <c r="I59" s="21">
        <f>I60/I61</f>
        <v>0.64885823725658742</v>
      </c>
      <c r="J59" s="21">
        <f>J60/J61</f>
        <v>0.66858923949281768</v>
      </c>
    </row>
    <row r="60" spans="1:14" ht="36" customHeight="1">
      <c r="A60" s="332"/>
      <c r="B60" s="41">
        <v>7373516</v>
      </c>
      <c r="C60" s="8" t="s">
        <v>128</v>
      </c>
      <c r="D60" s="344"/>
      <c r="E60" s="334"/>
      <c r="F60" s="32"/>
      <c r="G60" s="35">
        <v>6903550</v>
      </c>
      <c r="H60" s="35">
        <v>7140299</v>
      </c>
      <c r="I60" s="69">
        <v>7373516</v>
      </c>
      <c r="J60" s="35">
        <v>7606733</v>
      </c>
    </row>
    <row r="61" spans="1:14" ht="51" customHeight="1">
      <c r="A61" s="333"/>
      <c r="B61" s="42">
        <v>11363832</v>
      </c>
      <c r="C61" s="8" t="s">
        <v>129</v>
      </c>
      <c r="D61" s="344"/>
      <c r="E61" s="334"/>
      <c r="F61" s="32"/>
      <c r="G61" s="35">
        <v>11345082</v>
      </c>
      <c r="H61" s="35">
        <v>11339567</v>
      </c>
      <c r="I61" s="69">
        <v>11363832</v>
      </c>
      <c r="J61" s="69">
        <f>(J63-I63)+I61</f>
        <v>11377289</v>
      </c>
    </row>
    <row r="62" spans="1:14" ht="21" customHeight="1">
      <c r="A62" s="331" t="s">
        <v>44</v>
      </c>
      <c r="B62" s="24">
        <f>B63/B64</f>
        <v>2.772128275039617E-3</v>
      </c>
      <c r="C62" s="9" t="s">
        <v>132</v>
      </c>
      <c r="D62" s="331" t="s">
        <v>189</v>
      </c>
      <c r="E62" s="334" t="s">
        <v>135</v>
      </c>
      <c r="F62" s="32"/>
      <c r="G62" s="36">
        <f>G63/G64</f>
        <v>3.5539628536840898E-4</v>
      </c>
      <c r="H62" s="36">
        <f>H63/H64</f>
        <v>5.9102785847113916E-4</v>
      </c>
      <c r="I62" s="19">
        <f>I63/I64</f>
        <v>2.772128275039617E-3</v>
      </c>
      <c r="J62" s="19">
        <f>J63/J64</f>
        <v>3.9516443680036603E-3</v>
      </c>
    </row>
    <row r="63" spans="1:14" ht="53.25" customHeight="1">
      <c r="A63" s="332"/>
      <c r="B63" s="22">
        <v>31502</v>
      </c>
      <c r="C63" s="6" t="s">
        <v>133</v>
      </c>
      <c r="D63" s="332"/>
      <c r="E63" s="334"/>
      <c r="F63" s="32"/>
      <c r="G63" s="35">
        <v>4032</v>
      </c>
      <c r="H63" s="35">
        <v>6702</v>
      </c>
      <c r="I63" s="71">
        <v>31502</v>
      </c>
      <c r="J63" s="35">
        <f>31502+13457</f>
        <v>44959</v>
      </c>
    </row>
    <row r="64" spans="1:14" ht="62.25" customHeight="1">
      <c r="A64" s="333"/>
      <c r="B64" s="40">
        <v>11363832</v>
      </c>
      <c r="C64" s="6" t="s">
        <v>134</v>
      </c>
      <c r="D64" s="333"/>
      <c r="E64" s="334"/>
      <c r="F64" s="32"/>
      <c r="G64" s="35">
        <f>G61</f>
        <v>11345082</v>
      </c>
      <c r="H64" s="35">
        <f>H61</f>
        <v>11339567</v>
      </c>
      <c r="I64" s="35">
        <f>I61</f>
        <v>11363832</v>
      </c>
      <c r="J64" s="35">
        <f>J61</f>
        <v>11377289</v>
      </c>
      <c r="K64" s="18">
        <v>3754918</v>
      </c>
      <c r="L64" s="18">
        <v>3754918</v>
      </c>
    </row>
    <row r="65" spans="1:10" ht="17.25" customHeight="1">
      <c r="A65" s="334" t="s">
        <v>45</v>
      </c>
      <c r="B65" s="27">
        <f>B66/B67</f>
        <v>124041.05753968254</v>
      </c>
      <c r="C65" s="6" t="s">
        <v>136</v>
      </c>
      <c r="D65" s="334" t="s">
        <v>190</v>
      </c>
      <c r="E65" s="335" t="s">
        <v>191</v>
      </c>
      <c r="F65" s="32"/>
      <c r="G65" s="27">
        <f t="shared" ref="G65:H65" si="7">G66/G67</f>
        <v>33072.745794392526</v>
      </c>
      <c r="H65" s="27">
        <f t="shared" si="7"/>
        <v>72543.988785046735</v>
      </c>
      <c r="I65" s="51">
        <f>I66/I67</f>
        <v>116853.63177570094</v>
      </c>
      <c r="J65" s="51">
        <f>J66/J67</f>
        <v>155804.84236760126</v>
      </c>
    </row>
    <row r="66" spans="1:10" ht="66.75" customHeight="1">
      <c r="A66" s="334"/>
      <c r="B66" s="40">
        <v>62516693</v>
      </c>
      <c r="C66" s="6" t="s">
        <v>137</v>
      </c>
      <c r="D66" s="334"/>
      <c r="E66" s="335"/>
      <c r="F66" s="32"/>
      <c r="G66" s="35">
        <v>17693919</v>
      </c>
      <c r="H66" s="35">
        <v>38811034</v>
      </c>
      <c r="I66" s="69">
        <v>62516693</v>
      </c>
      <c r="J66" s="37">
        <f>I66/3*4</f>
        <v>83355590.666666672</v>
      </c>
    </row>
    <row r="67" spans="1:10" ht="81" customHeight="1">
      <c r="A67" s="334"/>
      <c r="B67" s="22">
        <v>504</v>
      </c>
      <c r="C67" s="6" t="s">
        <v>138</v>
      </c>
      <c r="D67" s="334"/>
      <c r="E67" s="335"/>
      <c r="F67" s="32"/>
      <c r="G67" s="35">
        <v>535</v>
      </c>
      <c r="H67" s="35">
        <v>535</v>
      </c>
      <c r="I67" s="71">
        <v>535</v>
      </c>
      <c r="J67" s="71">
        <v>535</v>
      </c>
    </row>
    <row r="68" spans="1:10">
      <c r="A68" s="334" t="s">
        <v>46</v>
      </c>
      <c r="B68" s="17">
        <f>B69/B71</f>
        <v>5.5058848137383141</v>
      </c>
      <c r="C68" s="6" t="s">
        <v>139</v>
      </c>
      <c r="D68" s="334" t="s">
        <v>144</v>
      </c>
      <c r="E68" s="334" t="s">
        <v>145</v>
      </c>
      <c r="F68" s="32"/>
      <c r="G68" s="17">
        <f t="shared" ref="G68:H68" si="8">G69/G71</f>
        <v>1.559981538282496</v>
      </c>
      <c r="H68" s="17">
        <f t="shared" si="8"/>
        <v>3.4209369247953805</v>
      </c>
      <c r="I68" s="20">
        <f>I69/I71</f>
        <v>5.5058848137383141</v>
      </c>
      <c r="J68" s="20">
        <f>J69/J71</f>
        <v>7.3308251309745609</v>
      </c>
    </row>
    <row r="69" spans="1:10" ht="59.25" customHeight="1">
      <c r="A69" s="334"/>
      <c r="B69" s="40">
        <v>62516693</v>
      </c>
      <c r="C69" s="6" t="s">
        <v>140</v>
      </c>
      <c r="D69" s="334"/>
      <c r="E69" s="334"/>
      <c r="F69" s="32"/>
      <c r="G69" s="35">
        <f>G66</f>
        <v>17693919</v>
      </c>
      <c r="H69" s="35">
        <f>H66</f>
        <v>38811034</v>
      </c>
      <c r="I69" s="35">
        <f t="shared" ref="I69:J69" si="9">I66</f>
        <v>62516693</v>
      </c>
      <c r="J69" s="37">
        <f t="shared" si="9"/>
        <v>83355590.666666672</v>
      </c>
    </row>
    <row r="70" spans="1:10" ht="39">
      <c r="A70" s="334"/>
      <c r="B70" s="40"/>
      <c r="C70" s="6" t="s">
        <v>141</v>
      </c>
      <c r="D70" s="334"/>
      <c r="E70" s="334"/>
      <c r="F70" s="32"/>
      <c r="G70" s="35"/>
      <c r="H70" s="35"/>
      <c r="I70" s="69"/>
      <c r="J70" s="35"/>
    </row>
    <row r="71" spans="1:10">
      <c r="A71" s="334"/>
      <c r="B71" s="27">
        <f>(11345213+11363832)/2</f>
        <v>11354522.5</v>
      </c>
      <c r="C71" s="6" t="s">
        <v>142</v>
      </c>
      <c r="D71" s="334"/>
      <c r="E71" s="334"/>
      <c r="F71" s="32"/>
      <c r="G71" s="27">
        <f>(11345213+11339567)/2</f>
        <v>11342390</v>
      </c>
      <c r="H71" s="27">
        <f>(11345213+11345082)/2</f>
        <v>11345147.5</v>
      </c>
      <c r="I71" s="27">
        <f>(11345213+11363832)/2</f>
        <v>11354522.5</v>
      </c>
      <c r="J71" s="37">
        <f>(11363832+11377289)/2</f>
        <v>11370560.5</v>
      </c>
    </row>
    <row r="72" spans="1:10" ht="43.5" customHeight="1">
      <c r="A72" s="334"/>
      <c r="B72" s="40"/>
      <c r="C72" s="6" t="s">
        <v>143</v>
      </c>
      <c r="D72" s="334"/>
      <c r="E72" s="334"/>
      <c r="F72" s="32"/>
      <c r="G72" s="35"/>
      <c r="H72" s="35"/>
      <c r="I72" s="69"/>
      <c r="J72" s="35"/>
    </row>
    <row r="73" spans="1:10" ht="26.25">
      <c r="A73" s="334" t="s">
        <v>47</v>
      </c>
      <c r="B73" s="17">
        <f>B74/B75</f>
        <v>0.7</v>
      </c>
      <c r="C73" s="6" t="s">
        <v>146</v>
      </c>
      <c r="D73" s="334" t="s">
        <v>150</v>
      </c>
      <c r="E73" s="334" t="s">
        <v>151</v>
      </c>
      <c r="F73" s="32"/>
      <c r="G73" s="16">
        <f t="shared" ref="G73:H73" si="10">G74/G75</f>
        <v>0.70000000000000007</v>
      </c>
      <c r="H73" s="16">
        <f t="shared" si="10"/>
        <v>0.7</v>
      </c>
      <c r="I73" s="21">
        <f>I74/I75</f>
        <v>0.7</v>
      </c>
      <c r="J73" s="21">
        <f>J74/J75</f>
        <v>0.70000000000000007</v>
      </c>
    </row>
    <row r="74" spans="1:10" ht="39">
      <c r="A74" s="334"/>
      <c r="B74" s="40">
        <v>62516693</v>
      </c>
      <c r="C74" s="6" t="s">
        <v>147</v>
      </c>
      <c r="D74" s="334"/>
      <c r="E74" s="334"/>
      <c r="F74" s="32"/>
      <c r="G74" s="35">
        <f>G69</f>
        <v>17693919</v>
      </c>
      <c r="H74" s="35">
        <f>H69</f>
        <v>38811034</v>
      </c>
      <c r="I74" s="35">
        <f>I69</f>
        <v>62516693</v>
      </c>
      <c r="J74" s="37">
        <f>J69</f>
        <v>83355590.666666672</v>
      </c>
    </row>
    <row r="75" spans="1:10" ht="77.25">
      <c r="A75" s="334"/>
      <c r="B75" s="25">
        <f>B74/70*100</f>
        <v>89309561.428571433</v>
      </c>
      <c r="C75" s="6" t="s">
        <v>219</v>
      </c>
      <c r="D75" s="334"/>
      <c r="E75" s="334"/>
      <c r="F75" s="32"/>
      <c r="G75" s="25">
        <f t="shared" ref="G75:H75" si="11">G74/70*100</f>
        <v>25277027.142857142</v>
      </c>
      <c r="H75" s="25">
        <f t="shared" si="11"/>
        <v>55444334.285714291</v>
      </c>
      <c r="I75" s="25">
        <f>I74/70*100</f>
        <v>89309561.428571433</v>
      </c>
      <c r="J75" s="25">
        <f>J74/70*100</f>
        <v>119079415.23809524</v>
      </c>
    </row>
    <row r="76" spans="1:10" ht="26.25">
      <c r="A76" s="334"/>
      <c r="B76" s="40">
        <v>0</v>
      </c>
      <c r="C76" s="6" t="s">
        <v>148</v>
      </c>
      <c r="D76" s="334"/>
      <c r="E76" s="334"/>
      <c r="F76" s="32"/>
      <c r="G76" s="69">
        <v>0</v>
      </c>
      <c r="H76" s="69">
        <v>0</v>
      </c>
      <c r="I76" s="69">
        <v>0</v>
      </c>
      <c r="J76" s="69">
        <v>0</v>
      </c>
    </row>
    <row r="77" spans="1:10" ht="32.25" customHeight="1">
      <c r="A77" s="334"/>
      <c r="B77" s="40">
        <v>0</v>
      </c>
      <c r="C77" s="6" t="s">
        <v>149</v>
      </c>
      <c r="D77" s="334"/>
      <c r="E77" s="334"/>
      <c r="F77" s="32"/>
      <c r="G77" s="69">
        <v>0</v>
      </c>
      <c r="H77" s="69">
        <v>0</v>
      </c>
      <c r="I77" s="69">
        <v>0</v>
      </c>
      <c r="J77" s="69">
        <v>0</v>
      </c>
    </row>
    <row r="78" spans="1:10">
      <c r="A78" s="334" t="s">
        <v>48</v>
      </c>
      <c r="B78" s="16">
        <f>B79/B80</f>
        <v>1.8199763213522492E-2</v>
      </c>
      <c r="C78" s="6" t="s">
        <v>152</v>
      </c>
      <c r="D78" s="331" t="s">
        <v>192</v>
      </c>
      <c r="E78" s="334" t="s">
        <v>155</v>
      </c>
      <c r="F78" s="32"/>
      <c r="G78" s="16">
        <f t="shared" ref="G78" si="12">G79/G80</f>
        <v>0.04</v>
      </c>
      <c r="H78" s="16">
        <f>H79/H80</f>
        <v>0.03</v>
      </c>
      <c r="I78" s="21">
        <f>I79/I80</f>
        <v>0.03</v>
      </c>
      <c r="J78" s="21">
        <f>J79/J80</f>
        <v>0.04</v>
      </c>
    </row>
    <row r="79" spans="1:10" ht="58.5" customHeight="1">
      <c r="A79" s="334"/>
      <c r="B79" s="40">
        <v>1018215</v>
      </c>
      <c r="C79" s="6" t="s">
        <v>153</v>
      </c>
      <c r="D79" s="332"/>
      <c r="E79" s="334"/>
      <c r="F79" s="32"/>
      <c r="G79" s="27">
        <f>G80*0.04</f>
        <v>624304.24</v>
      </c>
      <c r="H79" s="27">
        <f>H80*0.03</f>
        <v>1037829.9299999999</v>
      </c>
      <c r="I79" s="27">
        <f>I80*0.03</f>
        <v>1678398.21</v>
      </c>
      <c r="J79" s="27">
        <f>J80*0.04</f>
        <v>2983819.04</v>
      </c>
    </row>
    <row r="80" spans="1:10" ht="32.25" customHeight="1">
      <c r="A80" s="334"/>
      <c r="B80" s="40">
        <v>55946607</v>
      </c>
      <c r="C80" s="6" t="s">
        <v>154</v>
      </c>
      <c r="D80" s="333"/>
      <c r="E80" s="334"/>
      <c r="F80" s="32"/>
      <c r="G80" s="35">
        <v>15607606</v>
      </c>
      <c r="H80" s="35">
        <v>34594331</v>
      </c>
      <c r="I80" s="69">
        <v>55946607</v>
      </c>
      <c r="J80" s="35">
        <f>I80/3*4</f>
        <v>74595476</v>
      </c>
    </row>
    <row r="81" spans="1:10">
      <c r="A81" s="334" t="s">
        <v>49</v>
      </c>
      <c r="B81" s="40"/>
      <c r="C81" s="6" t="s">
        <v>156</v>
      </c>
      <c r="D81" s="40" t="s">
        <v>160</v>
      </c>
      <c r="E81" s="334" t="s">
        <v>164</v>
      </c>
      <c r="F81" s="32"/>
      <c r="G81" s="35"/>
      <c r="H81" s="35"/>
      <c r="I81" s="70"/>
      <c r="J81" s="52"/>
    </row>
    <row r="82" spans="1:10" ht="26.25">
      <c r="A82" s="334"/>
      <c r="B82" s="40">
        <v>0</v>
      </c>
      <c r="C82" s="6" t="s">
        <v>157</v>
      </c>
      <c r="D82" s="40" t="s">
        <v>161</v>
      </c>
      <c r="E82" s="334"/>
      <c r="F82" s="32"/>
      <c r="G82" s="69">
        <v>0</v>
      </c>
      <c r="H82" s="69">
        <v>0</v>
      </c>
      <c r="I82" s="69">
        <v>0</v>
      </c>
      <c r="J82" s="69">
        <v>0</v>
      </c>
    </row>
    <row r="83" spans="1:10" ht="26.25">
      <c r="A83" s="334"/>
      <c r="B83" s="40">
        <v>0</v>
      </c>
      <c r="C83" s="6" t="s">
        <v>158</v>
      </c>
      <c r="D83" s="40" t="s">
        <v>162</v>
      </c>
      <c r="E83" s="334"/>
      <c r="F83" s="32"/>
      <c r="G83" s="69">
        <v>0</v>
      </c>
      <c r="H83" s="69">
        <v>0</v>
      </c>
      <c r="I83" s="69">
        <v>0</v>
      </c>
      <c r="J83" s="69">
        <v>0</v>
      </c>
    </row>
    <row r="84" spans="1:10" ht="38.25">
      <c r="A84" s="334"/>
      <c r="C84" s="5" t="s">
        <v>159</v>
      </c>
      <c r="D84" s="40" t="s">
        <v>163</v>
      </c>
      <c r="E84" s="334"/>
      <c r="F84" s="32"/>
      <c r="G84" s="73"/>
      <c r="H84" s="73"/>
      <c r="I84" s="73"/>
      <c r="J84" s="35"/>
    </row>
    <row r="85" spans="1:10">
      <c r="A85" s="334" t="s">
        <v>165</v>
      </c>
      <c r="B85" s="40"/>
      <c r="C85" s="6" t="s">
        <v>166</v>
      </c>
      <c r="D85" s="334" t="s">
        <v>170</v>
      </c>
      <c r="E85" s="334" t="s">
        <v>171</v>
      </c>
      <c r="F85" s="32"/>
      <c r="G85" s="69"/>
      <c r="H85" s="69"/>
      <c r="I85" s="70"/>
      <c r="J85" s="52"/>
    </row>
    <row r="86" spans="1:10" ht="26.25">
      <c r="A86" s="334"/>
      <c r="B86" s="40">
        <v>0</v>
      </c>
      <c r="C86" s="6" t="s">
        <v>167</v>
      </c>
      <c r="D86" s="334"/>
      <c r="E86" s="334"/>
      <c r="F86" s="32"/>
      <c r="G86" s="69">
        <v>0</v>
      </c>
      <c r="H86" s="69">
        <v>0</v>
      </c>
      <c r="I86" s="69">
        <v>0</v>
      </c>
      <c r="J86" s="69">
        <v>0</v>
      </c>
    </row>
    <row r="87" spans="1:10">
      <c r="A87" s="334"/>
      <c r="B87" s="40">
        <v>0</v>
      </c>
      <c r="C87" s="6" t="s">
        <v>168</v>
      </c>
      <c r="D87" s="334"/>
      <c r="E87" s="334"/>
      <c r="F87" s="32"/>
      <c r="G87" s="69">
        <v>0</v>
      </c>
      <c r="H87" s="69">
        <v>0</v>
      </c>
      <c r="I87" s="69">
        <v>0</v>
      </c>
      <c r="J87" s="69">
        <v>0</v>
      </c>
    </row>
    <row r="88" spans="1:10" ht="38.25">
      <c r="A88" s="334"/>
      <c r="B88" s="40"/>
      <c r="C88" s="5" t="s">
        <v>169</v>
      </c>
      <c r="D88" s="334"/>
      <c r="E88" s="334"/>
      <c r="F88" s="32"/>
      <c r="G88" s="35"/>
      <c r="H88" s="35"/>
      <c r="I88" s="69"/>
      <c r="J88" s="35"/>
    </row>
    <row r="89" spans="1:10" ht="18" customHeight="1">
      <c r="A89" s="334" t="s">
        <v>51</v>
      </c>
      <c r="B89" s="17">
        <f>B90/B91</f>
        <v>15.782976190476191</v>
      </c>
      <c r="C89" s="6" t="s">
        <v>172</v>
      </c>
      <c r="D89" s="331" t="s">
        <v>195</v>
      </c>
      <c r="E89" s="331" t="s">
        <v>174</v>
      </c>
      <c r="F89" s="32"/>
      <c r="G89" s="17">
        <f t="shared" ref="G89:H89" si="13">G90/G91</f>
        <v>4.9561495327102802</v>
      </c>
      <c r="H89" s="17">
        <f t="shared" si="13"/>
        <v>9.9122990654205605</v>
      </c>
      <c r="I89" s="20">
        <f>I90/I91</f>
        <v>14.868448598130842</v>
      </c>
      <c r="J89" s="20">
        <f>J90/J91</f>
        <v>19.824598130841121</v>
      </c>
    </row>
    <row r="90" spans="1:10" ht="26.25">
      <c r="A90" s="334"/>
      <c r="B90" s="27">
        <v>7954.62</v>
      </c>
      <c r="C90" s="6" t="s">
        <v>173</v>
      </c>
      <c r="D90" s="332"/>
      <c r="E90" s="332"/>
      <c r="F90" s="32"/>
      <c r="G90" s="37">
        <f>I90/3</f>
        <v>2651.54</v>
      </c>
      <c r="H90" s="37">
        <f>I90/3*2</f>
        <v>5303.08</v>
      </c>
      <c r="I90" s="27">
        <v>7954.62</v>
      </c>
      <c r="J90" s="37">
        <f>I90/3*4</f>
        <v>10606.16</v>
      </c>
    </row>
    <row r="91" spans="1:10" ht="29.25" customHeight="1">
      <c r="A91" s="334"/>
      <c r="B91" s="40">
        <v>504</v>
      </c>
      <c r="C91" s="6" t="s">
        <v>138</v>
      </c>
      <c r="D91" s="333"/>
      <c r="E91" s="333"/>
      <c r="F91" s="32"/>
      <c r="G91" s="35">
        <v>535</v>
      </c>
      <c r="H91" s="35">
        <v>535</v>
      </c>
      <c r="I91" s="69">
        <v>535</v>
      </c>
      <c r="J91" s="35">
        <v>535</v>
      </c>
    </row>
    <row r="92" spans="1:10" ht="21.75" customHeight="1">
      <c r="A92" s="334" t="s">
        <v>52</v>
      </c>
      <c r="B92" s="16">
        <f>509/498</f>
        <v>1.0220883534136547</v>
      </c>
      <c r="C92" s="6" t="s">
        <v>175</v>
      </c>
      <c r="D92" s="334" t="s">
        <v>177</v>
      </c>
      <c r="E92" s="334" t="s">
        <v>178</v>
      </c>
      <c r="F92" s="32"/>
      <c r="G92" s="34">
        <f>510/545</f>
        <v>0.93577981651376152</v>
      </c>
      <c r="H92" s="34">
        <f>545/710</f>
        <v>0.76760563380281688</v>
      </c>
      <c r="I92" s="21">
        <f>710/611</f>
        <v>1.1620294599018004</v>
      </c>
      <c r="J92" s="21">
        <f>611/580</f>
        <v>1.0534482758620689</v>
      </c>
    </row>
    <row r="93" spans="1:10" ht="45" customHeight="1">
      <c r="A93" s="334"/>
      <c r="B93" s="40" t="s">
        <v>236</v>
      </c>
      <c r="C93" s="6" t="s">
        <v>176</v>
      </c>
      <c r="D93" s="334"/>
      <c r="E93" s="334"/>
      <c r="F93" s="32"/>
      <c r="G93" s="35" t="s">
        <v>235</v>
      </c>
      <c r="H93" s="35" t="s">
        <v>238</v>
      </c>
      <c r="I93" s="69" t="s">
        <v>239</v>
      </c>
      <c r="J93" s="35" t="s">
        <v>237</v>
      </c>
    </row>
    <row r="94" spans="1:10" ht="68.25" customHeight="1">
      <c r="A94" s="40" t="s">
        <v>179</v>
      </c>
      <c r="B94" s="40">
        <v>0</v>
      </c>
      <c r="C94" s="40" t="s">
        <v>180</v>
      </c>
      <c r="D94" s="40" t="s">
        <v>181</v>
      </c>
      <c r="E94" s="40" t="s">
        <v>125</v>
      </c>
      <c r="F94" s="32"/>
      <c r="G94" s="69">
        <v>0</v>
      </c>
      <c r="H94" s="69">
        <v>0</v>
      </c>
      <c r="I94" s="69">
        <v>0</v>
      </c>
      <c r="J94" s="69">
        <v>0</v>
      </c>
    </row>
    <row r="95" spans="1:10" ht="79.5" customHeight="1">
      <c r="A95" s="40" t="s">
        <v>220</v>
      </c>
      <c r="B95" s="40">
        <v>0</v>
      </c>
      <c r="C95" s="40" t="s">
        <v>182</v>
      </c>
      <c r="D95" s="40" t="s">
        <v>181</v>
      </c>
      <c r="E95" s="40" t="s">
        <v>125</v>
      </c>
      <c r="F95" s="32"/>
      <c r="G95" s="69">
        <v>0</v>
      </c>
      <c r="H95" s="69">
        <v>0</v>
      </c>
      <c r="I95" s="69">
        <v>0</v>
      </c>
      <c r="J95" s="69">
        <v>0</v>
      </c>
    </row>
    <row r="96" spans="1:10" ht="54.75" customHeight="1">
      <c r="A96" s="40" t="s">
        <v>55</v>
      </c>
      <c r="B96" s="40">
        <v>0</v>
      </c>
      <c r="C96" s="40" t="s">
        <v>183</v>
      </c>
      <c r="D96" s="40" t="s">
        <v>181</v>
      </c>
      <c r="E96" s="40" t="s">
        <v>125</v>
      </c>
      <c r="F96" s="32"/>
      <c r="G96" s="69">
        <v>0</v>
      </c>
      <c r="H96" s="69">
        <v>0</v>
      </c>
      <c r="I96" s="69">
        <v>0</v>
      </c>
      <c r="J96" s="69">
        <v>0</v>
      </c>
    </row>
    <row r="97" spans="1:5" ht="15.75">
      <c r="A97" s="4" t="s">
        <v>62</v>
      </c>
      <c r="B97" s="4"/>
      <c r="C97" s="2"/>
      <c r="D97" s="2"/>
      <c r="E97" s="2"/>
    </row>
    <row r="98" spans="1:5" ht="15.75">
      <c r="A98" s="4"/>
      <c r="B98" s="4"/>
      <c r="C98" s="2"/>
      <c r="D98" s="2"/>
      <c r="E98" s="2"/>
    </row>
    <row r="99" spans="1:5" ht="15.75">
      <c r="A99" s="336" t="s">
        <v>193</v>
      </c>
      <c r="B99" s="336"/>
      <c r="C99" s="336"/>
      <c r="D99" s="336"/>
      <c r="E99" s="336"/>
    </row>
    <row r="100" spans="1:5" ht="15.75">
      <c r="A100" s="341" t="s">
        <v>194</v>
      </c>
      <c r="B100" s="341"/>
      <c r="C100" s="341"/>
      <c r="D100" s="341"/>
      <c r="E100" s="341"/>
    </row>
    <row r="101" spans="1:5" ht="15.75">
      <c r="A101" s="4"/>
      <c r="B101" s="4"/>
      <c r="C101" s="2"/>
      <c r="D101" s="2"/>
      <c r="E101" s="2"/>
    </row>
  </sheetData>
  <mergeCells count="72">
    <mergeCell ref="A92:A93"/>
    <mergeCell ref="D92:D93"/>
    <mergeCell ref="E92:E93"/>
    <mergeCell ref="A99:E99"/>
    <mergeCell ref="A100:E100"/>
    <mergeCell ref="A85:A88"/>
    <mergeCell ref="D85:D88"/>
    <mergeCell ref="E85:E88"/>
    <mergeCell ref="A89:A91"/>
    <mergeCell ref="D89:D91"/>
    <mergeCell ref="E89:E91"/>
    <mergeCell ref="A78:A80"/>
    <mergeCell ref="D78:D80"/>
    <mergeCell ref="E78:E80"/>
    <mergeCell ref="A81:A84"/>
    <mergeCell ref="E81:E84"/>
    <mergeCell ref="A68:A72"/>
    <mergeCell ref="D68:D72"/>
    <mergeCell ref="E68:E72"/>
    <mergeCell ref="A73:A77"/>
    <mergeCell ref="D73:D77"/>
    <mergeCell ref="E73:E77"/>
    <mergeCell ref="A62:A64"/>
    <mergeCell ref="D62:D64"/>
    <mergeCell ref="E62:E64"/>
    <mergeCell ref="A65:A67"/>
    <mergeCell ref="D65:D67"/>
    <mergeCell ref="E65:E67"/>
    <mergeCell ref="A53:E53"/>
    <mergeCell ref="A54:E54"/>
    <mergeCell ref="A55:E55"/>
    <mergeCell ref="A56:E56"/>
    <mergeCell ref="A59:A61"/>
    <mergeCell ref="D59:D61"/>
    <mergeCell ref="E59:E61"/>
    <mergeCell ref="A52:E52"/>
    <mergeCell ref="A1:E1"/>
    <mergeCell ref="A2:E2"/>
    <mergeCell ref="A3:E3"/>
    <mergeCell ref="A4:E4"/>
    <mergeCell ref="D7:D9"/>
    <mergeCell ref="E7:E9"/>
    <mergeCell ref="A7:A9"/>
    <mergeCell ref="D10:D12"/>
    <mergeCell ref="D13:D15"/>
    <mergeCell ref="A37:A39"/>
    <mergeCell ref="A40:A41"/>
    <mergeCell ref="E40:E41"/>
    <mergeCell ref="A48:E48"/>
    <mergeCell ref="A51:E51"/>
    <mergeCell ref="D40:D41"/>
    <mergeCell ref="A21:A25"/>
    <mergeCell ref="D21:D25"/>
    <mergeCell ref="E21:E25"/>
    <mergeCell ref="E13:E15"/>
    <mergeCell ref="A47:E47"/>
    <mergeCell ref="D37:D39"/>
    <mergeCell ref="E37:E39"/>
    <mergeCell ref="A26:A28"/>
    <mergeCell ref="E26:E28"/>
    <mergeCell ref="A29:A32"/>
    <mergeCell ref="E29:E32"/>
    <mergeCell ref="A33:A36"/>
    <mergeCell ref="D33:D36"/>
    <mergeCell ref="E33:E36"/>
    <mergeCell ref="D26:D28"/>
    <mergeCell ref="A10:A12"/>
    <mergeCell ref="E10:E12"/>
    <mergeCell ref="A13:A15"/>
    <mergeCell ref="A16:A20"/>
    <mergeCell ref="D16:D20"/>
    <mergeCell ref="E16:E20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94"/>
  <sheetViews>
    <sheetView topLeftCell="A6" workbookViewId="0">
      <selection activeCell="P26" sqref="P26"/>
    </sheetView>
  </sheetViews>
  <sheetFormatPr defaultRowHeight="15"/>
  <cols>
    <col min="1" max="1" width="15.85546875" customWidth="1"/>
    <col min="2" max="2" width="13.140625" style="57" customWidth="1"/>
    <col min="3" max="3" width="12.42578125" style="57" customWidth="1"/>
    <col min="4" max="4" width="51.7109375" style="57" customWidth="1"/>
    <col min="5" max="5" width="27.140625" style="57" customWidth="1"/>
    <col min="6" max="6" width="25.5703125" style="57" customWidth="1"/>
    <col min="7" max="7" width="23.42578125" style="55" hidden="1" customWidth="1"/>
    <col min="8" max="11" width="9.28515625" style="57" hidden="1" customWidth="1"/>
    <col min="12" max="14" width="9.28515625" style="55" hidden="1" customWidth="1"/>
    <col min="15" max="15" width="10" style="2" hidden="1" customWidth="1"/>
    <col min="16" max="16" width="15.85546875" style="2" customWidth="1"/>
  </cols>
  <sheetData>
    <row r="1" spans="1:17">
      <c r="A1" s="338" t="s">
        <v>57</v>
      </c>
      <c r="B1" s="338"/>
      <c r="C1" s="338"/>
      <c r="D1" s="338"/>
      <c r="E1" s="338"/>
      <c r="F1" s="338"/>
    </row>
    <row r="2" spans="1:17">
      <c r="A2" s="338" t="s">
        <v>4</v>
      </c>
      <c r="B2" s="338"/>
      <c r="C2" s="338"/>
      <c r="D2" s="338"/>
      <c r="E2" s="338"/>
      <c r="F2" s="338"/>
    </row>
    <row r="3" spans="1:17" ht="18.75">
      <c r="A3" s="339" t="s">
        <v>58</v>
      </c>
      <c r="B3" s="339"/>
      <c r="C3" s="339"/>
      <c r="D3" s="339"/>
      <c r="E3" s="339"/>
      <c r="F3" s="339"/>
    </row>
    <row r="4" spans="1:17" ht="18.75">
      <c r="A4" s="339" t="s">
        <v>196</v>
      </c>
      <c r="B4" s="339"/>
      <c r="C4" s="339"/>
      <c r="D4" s="339"/>
      <c r="E4" s="339"/>
      <c r="F4" s="339"/>
    </row>
    <row r="5" spans="1:17" ht="16.5" thickBot="1">
      <c r="A5" s="1" t="s">
        <v>2</v>
      </c>
      <c r="B5" s="104"/>
      <c r="C5" s="104"/>
    </row>
    <row r="6" spans="1:17" ht="34.5" customHeight="1" thickBot="1">
      <c r="A6" s="11" t="s">
        <v>7</v>
      </c>
      <c r="B6" s="105" t="s">
        <v>228</v>
      </c>
      <c r="C6" s="105" t="s">
        <v>210</v>
      </c>
      <c r="D6" s="106" t="s">
        <v>59</v>
      </c>
      <c r="E6" s="107" t="s">
        <v>188</v>
      </c>
      <c r="F6" s="108" t="s">
        <v>60</v>
      </c>
      <c r="H6" s="31" t="s">
        <v>222</v>
      </c>
      <c r="I6" s="31" t="s">
        <v>223</v>
      </c>
      <c r="J6" s="31" t="s">
        <v>224</v>
      </c>
      <c r="K6" s="31" t="s">
        <v>225</v>
      </c>
      <c r="L6" s="31" t="s">
        <v>254</v>
      </c>
      <c r="M6" s="31" t="s">
        <v>256</v>
      </c>
      <c r="N6" s="31" t="s">
        <v>260</v>
      </c>
      <c r="O6" s="72" t="s">
        <v>275</v>
      </c>
      <c r="P6" s="72" t="s">
        <v>281</v>
      </c>
    </row>
    <row r="7" spans="1:17" ht="27" customHeight="1" thickBot="1">
      <c r="A7" s="352" t="s">
        <v>61</v>
      </c>
      <c r="B7" s="353"/>
      <c r="C7" s="353"/>
      <c r="D7" s="354"/>
      <c r="E7" s="354"/>
      <c r="F7" s="355"/>
      <c r="H7" s="31"/>
      <c r="I7" s="31"/>
      <c r="J7" s="31"/>
      <c r="K7" s="109"/>
      <c r="L7" s="31"/>
      <c r="M7" s="31"/>
      <c r="N7" s="31"/>
      <c r="O7" s="72"/>
      <c r="P7" s="72"/>
    </row>
    <row r="8" spans="1:17" ht="31.5" customHeight="1">
      <c r="A8" s="332" t="s">
        <v>197</v>
      </c>
      <c r="B8" s="25">
        <f>517502+507626+B18</f>
        <v>2469678</v>
      </c>
      <c r="C8" s="25">
        <f>517502+507626+C18</f>
        <v>2469678</v>
      </c>
      <c r="D8" s="110" t="s">
        <v>226</v>
      </c>
      <c r="E8" s="351" t="s">
        <v>198</v>
      </c>
      <c r="F8" s="351" t="s">
        <v>74</v>
      </c>
      <c r="H8" s="25">
        <f>184629+125992+H18</f>
        <v>590036</v>
      </c>
      <c r="I8" s="25">
        <f>347304+418386+I18</f>
        <v>1727390</v>
      </c>
      <c r="J8" s="25">
        <f>517502+507626+J18</f>
        <v>2469678</v>
      </c>
      <c r="K8" s="25">
        <f>517502+507626+K18</f>
        <v>2951194.666666667</v>
      </c>
      <c r="L8" s="31">
        <f>1589104+352874+482347</f>
        <v>2424325</v>
      </c>
      <c r="M8" s="31">
        <f>1753953+808910+1070397</f>
        <v>3633260</v>
      </c>
      <c r="N8" s="68">
        <f>1905838+1197752+1804754</f>
        <v>4908344</v>
      </c>
      <c r="O8" s="140">
        <f>1691729+1320749+1634098</f>
        <v>4646576</v>
      </c>
      <c r="P8" s="140">
        <f>19313148+409735+2282573</f>
        <v>22005456</v>
      </c>
      <c r="Q8" s="218"/>
    </row>
    <row r="9" spans="1:17" ht="16.5" customHeight="1">
      <c r="A9" s="332"/>
      <c r="B9" s="71"/>
      <c r="C9" s="71"/>
      <c r="D9" s="71" t="s">
        <v>63</v>
      </c>
      <c r="E9" s="340"/>
      <c r="F9" s="340"/>
      <c r="H9" s="71"/>
      <c r="I9" s="71"/>
      <c r="J9" s="71"/>
      <c r="K9" s="71"/>
      <c r="L9" s="31"/>
      <c r="M9" s="31"/>
      <c r="N9" s="31"/>
      <c r="O9" s="72"/>
      <c r="P9" s="72"/>
    </row>
    <row r="10" spans="1:17" ht="16.5" customHeight="1">
      <c r="A10" s="332"/>
      <c r="B10" s="340">
        <f>337904+150463+507626</f>
        <v>995993</v>
      </c>
      <c r="C10" s="340">
        <f>337904+150463+507626</f>
        <v>995993</v>
      </c>
      <c r="D10" s="71" t="s">
        <v>64</v>
      </c>
      <c r="E10" s="340"/>
      <c r="F10" s="340"/>
      <c r="H10" s="340">
        <f>112665+62167+125992</f>
        <v>300824</v>
      </c>
      <c r="I10" s="340">
        <f>225145+102829+418386</f>
        <v>746360</v>
      </c>
      <c r="J10" s="340">
        <f>337904+150463+507626</f>
        <v>995993</v>
      </c>
      <c r="K10" s="345">
        <f>J10/3*4</f>
        <v>1327990.6666666667</v>
      </c>
      <c r="L10" s="345"/>
      <c r="M10" s="345"/>
      <c r="N10" s="345"/>
      <c r="O10" s="345"/>
      <c r="P10" s="345"/>
    </row>
    <row r="11" spans="1:17" ht="16.5" customHeight="1">
      <c r="A11" s="332"/>
      <c r="B11" s="340"/>
      <c r="C11" s="340"/>
      <c r="D11" s="71" t="s">
        <v>65</v>
      </c>
      <c r="E11" s="340"/>
      <c r="F11" s="340"/>
      <c r="H11" s="340"/>
      <c r="I11" s="340"/>
      <c r="J11" s="340"/>
      <c r="K11" s="345"/>
      <c r="L11" s="345"/>
      <c r="M11" s="345"/>
      <c r="N11" s="345"/>
      <c r="O11" s="345"/>
      <c r="P11" s="345"/>
    </row>
    <row r="12" spans="1:17" ht="16.5" customHeight="1">
      <c r="A12" s="332"/>
      <c r="B12" s="340"/>
      <c r="C12" s="340"/>
      <c r="D12" s="71" t="s">
        <v>66</v>
      </c>
      <c r="E12" s="340"/>
      <c r="F12" s="340"/>
      <c r="H12" s="340"/>
      <c r="I12" s="340"/>
      <c r="J12" s="340"/>
      <c r="K12" s="345"/>
      <c r="L12" s="345"/>
      <c r="M12" s="345"/>
      <c r="N12" s="345"/>
      <c r="O12" s="345"/>
      <c r="P12" s="345"/>
    </row>
    <row r="13" spans="1:17" ht="16.5" customHeight="1">
      <c r="A13" s="332"/>
      <c r="B13" s="340"/>
      <c r="C13" s="340"/>
      <c r="D13" s="71" t="s">
        <v>67</v>
      </c>
      <c r="E13" s="340"/>
      <c r="F13" s="340"/>
      <c r="H13" s="340"/>
      <c r="I13" s="340"/>
      <c r="J13" s="340"/>
      <c r="K13" s="345"/>
      <c r="L13" s="345"/>
      <c r="M13" s="345"/>
      <c r="N13" s="345"/>
      <c r="O13" s="345"/>
      <c r="P13" s="345"/>
    </row>
    <row r="14" spans="1:17" ht="16.5" customHeight="1">
      <c r="A14" s="332"/>
      <c r="B14" s="340"/>
      <c r="C14" s="340"/>
      <c r="D14" s="71" t="s">
        <v>68</v>
      </c>
      <c r="E14" s="340"/>
      <c r="F14" s="340"/>
      <c r="H14" s="340"/>
      <c r="I14" s="340"/>
      <c r="J14" s="340"/>
      <c r="K14" s="345"/>
      <c r="L14" s="345"/>
      <c r="M14" s="345"/>
      <c r="N14" s="345"/>
      <c r="O14" s="345"/>
      <c r="P14" s="345"/>
    </row>
    <row r="15" spans="1:17" ht="16.5" customHeight="1">
      <c r="A15" s="332"/>
      <c r="B15" s="340"/>
      <c r="C15" s="340"/>
      <c r="D15" s="71" t="s">
        <v>69</v>
      </c>
      <c r="E15" s="340"/>
      <c r="F15" s="340"/>
      <c r="H15" s="340"/>
      <c r="I15" s="340"/>
      <c r="J15" s="340"/>
      <c r="K15" s="345"/>
      <c r="L15" s="345"/>
      <c r="M15" s="345"/>
      <c r="N15" s="345"/>
      <c r="O15" s="345"/>
      <c r="P15" s="345"/>
    </row>
    <row r="16" spans="1:17" ht="16.5" customHeight="1">
      <c r="A16" s="332"/>
      <c r="B16" s="340"/>
      <c r="C16" s="340"/>
      <c r="D16" s="71" t="s">
        <v>70</v>
      </c>
      <c r="E16" s="340"/>
      <c r="F16" s="340"/>
      <c r="H16" s="340"/>
      <c r="I16" s="340"/>
      <c r="J16" s="340"/>
      <c r="K16" s="345"/>
      <c r="L16" s="345"/>
      <c r="M16" s="345"/>
      <c r="N16" s="345"/>
      <c r="O16" s="345"/>
      <c r="P16" s="345"/>
    </row>
    <row r="17" spans="1:17" ht="16.5" customHeight="1">
      <c r="A17" s="332"/>
      <c r="B17" s="340"/>
      <c r="C17" s="340"/>
      <c r="D17" s="71" t="s">
        <v>71</v>
      </c>
      <c r="E17" s="340"/>
      <c r="F17" s="340"/>
      <c r="H17" s="340"/>
      <c r="I17" s="340"/>
      <c r="J17" s="340"/>
      <c r="K17" s="345"/>
      <c r="L17" s="345"/>
      <c r="M17" s="345"/>
      <c r="N17" s="345"/>
      <c r="O17" s="345"/>
      <c r="P17" s="345"/>
    </row>
    <row r="18" spans="1:17" ht="25.5">
      <c r="A18" s="332"/>
      <c r="B18" s="340">
        <f>B10+704138-255581</f>
        <v>1444550</v>
      </c>
      <c r="C18" s="340">
        <f>C10+704138-255581</f>
        <v>1444550</v>
      </c>
      <c r="D18" s="71" t="s">
        <v>72</v>
      </c>
      <c r="E18" s="340"/>
      <c r="F18" s="340"/>
      <c r="H18" s="340">
        <f>H10+234172-255581</f>
        <v>279415</v>
      </c>
      <c r="I18" s="340">
        <f>I10+470921-255581</f>
        <v>961700</v>
      </c>
      <c r="J18" s="340">
        <f>J10+704138-255581</f>
        <v>1444550</v>
      </c>
      <c r="K18" s="345">
        <f>J18/3*4</f>
        <v>1926066.6666666667</v>
      </c>
      <c r="L18" s="362"/>
      <c r="M18" s="362"/>
      <c r="N18" s="362"/>
      <c r="O18" s="346"/>
      <c r="P18" s="346"/>
    </row>
    <row r="19" spans="1:17">
      <c r="A19" s="332"/>
      <c r="B19" s="340"/>
      <c r="C19" s="340"/>
      <c r="D19" s="71" t="s">
        <v>73</v>
      </c>
      <c r="E19" s="340"/>
      <c r="F19" s="340"/>
      <c r="H19" s="340"/>
      <c r="I19" s="340"/>
      <c r="J19" s="340"/>
      <c r="K19" s="345"/>
      <c r="L19" s="363"/>
      <c r="M19" s="363"/>
      <c r="N19" s="363"/>
      <c r="O19" s="347"/>
      <c r="P19" s="347"/>
    </row>
    <row r="20" spans="1:17">
      <c r="A20" s="332"/>
      <c r="B20" s="340"/>
      <c r="C20" s="340"/>
      <c r="D20" s="30" t="s">
        <v>229</v>
      </c>
      <c r="E20" s="340"/>
      <c r="F20" s="340"/>
      <c r="H20" s="340"/>
      <c r="I20" s="340"/>
      <c r="J20" s="340"/>
      <c r="K20" s="345"/>
      <c r="L20" s="364"/>
      <c r="M20" s="364"/>
      <c r="N20" s="364"/>
      <c r="O20" s="348"/>
      <c r="P20" s="348"/>
    </row>
    <row r="21" spans="1:17" ht="105.75" customHeight="1">
      <c r="A21" s="7" t="s">
        <v>75</v>
      </c>
      <c r="B21" s="24">
        <f>5116460/62516693</f>
        <v>8.184150111714962E-2</v>
      </c>
      <c r="C21" s="24">
        <f>5116460/62516693</f>
        <v>8.184150111714962E-2</v>
      </c>
      <c r="D21" s="71" t="s">
        <v>76</v>
      </c>
      <c r="E21" s="111" t="s">
        <v>199</v>
      </c>
      <c r="F21" s="111" t="s">
        <v>77</v>
      </c>
      <c r="H21" s="24">
        <f>1712866/17693919</f>
        <v>9.6805348775474781E-2</v>
      </c>
      <c r="I21" s="24">
        <f>3205899/38811034</f>
        <v>8.2602772191021759E-2</v>
      </c>
      <c r="J21" s="24">
        <f>5116460/62516693</f>
        <v>8.184150111714962E-2</v>
      </c>
      <c r="K21" s="24">
        <f>J21</f>
        <v>8.184150111714962E-2</v>
      </c>
      <c r="L21" s="60">
        <f>5982878/46104172</f>
        <v>0.12976868991378915</v>
      </c>
      <c r="M21" s="31">
        <v>0.11799999999999999</v>
      </c>
      <c r="N21" s="60">
        <f>11010503/102585404</f>
        <v>0.10733011296616816</v>
      </c>
      <c r="O21" s="141">
        <f>9459358/115979242</f>
        <v>8.1560784816993373E-2</v>
      </c>
      <c r="P21" s="141">
        <f>5839836/156305891</f>
        <v>3.7361586070994601E-2</v>
      </c>
      <c r="Q21" s="218"/>
    </row>
    <row r="22" spans="1:17" ht="102">
      <c r="A22" s="3" t="s">
        <v>78</v>
      </c>
      <c r="B22" s="28">
        <f>337904/5610415</f>
        <v>6.0227986699736114E-2</v>
      </c>
      <c r="C22" s="28">
        <f>337904/((5379433+5610415)/2)</f>
        <v>6.1493844136879784E-2</v>
      </c>
      <c r="D22" s="71" t="s">
        <v>264</v>
      </c>
      <c r="E22" s="71" t="s">
        <v>211</v>
      </c>
      <c r="F22" s="71" t="s">
        <v>80</v>
      </c>
      <c r="H22" s="28">
        <f>112665/((5379433+5389496)/2)</f>
        <v>2.0924086322790317E-2</v>
      </c>
      <c r="I22" s="28">
        <f>225145/5499458</f>
        <v>4.0939488946001586E-2</v>
      </c>
      <c r="J22" s="28">
        <f>337904/((5379433+5610415)/2)</f>
        <v>6.1493844136879784E-2</v>
      </c>
      <c r="K22" s="28">
        <f>J22/3*4</f>
        <v>8.1991792182506379E-2</v>
      </c>
      <c r="L22" s="28">
        <f>1140408/((7701003+8046642)/2)</f>
        <v>0.14483537062208349</v>
      </c>
      <c r="M22" s="31">
        <v>0.15</v>
      </c>
      <c r="N22" s="28">
        <f>1303477/((7701003+8144321)/2)</f>
        <v>0.16452513056848822</v>
      </c>
      <c r="O22" s="21">
        <f>1323466/((9528014+8111026)/2)</f>
        <v>0.15006100105221146</v>
      </c>
      <c r="P22" s="21">
        <f>16675814/((22018710+35952751)/2)</f>
        <v>0.57531115180968095</v>
      </c>
      <c r="Q22" s="218"/>
    </row>
    <row r="23" spans="1:17" ht="114.75" customHeight="1">
      <c r="A23" s="3" t="s">
        <v>81</v>
      </c>
      <c r="B23" s="28">
        <f>337904/639863</f>
        <v>0.52808804384688601</v>
      </c>
      <c r="C23" s="28">
        <f>337904/639863</f>
        <v>0.52808804384688601</v>
      </c>
      <c r="D23" s="217" t="s">
        <v>282</v>
      </c>
      <c r="E23" s="71" t="s">
        <v>200</v>
      </c>
      <c r="F23" s="71" t="s">
        <v>83</v>
      </c>
      <c r="H23" s="28">
        <f>112665/639863</f>
        <v>0.17607675393013816</v>
      </c>
      <c r="I23" s="28">
        <f>225145/639863</f>
        <v>0.35186438346958648</v>
      </c>
      <c r="J23" s="28">
        <f>337904/639863</f>
        <v>0.52808804384688601</v>
      </c>
      <c r="K23" s="28">
        <f>450000/639863</f>
        <v>0.70327554492133471</v>
      </c>
      <c r="L23" s="62">
        <f>1140408/639863</f>
        <v>1.7822690169614432</v>
      </c>
      <c r="M23" s="31">
        <v>1.91</v>
      </c>
      <c r="N23" s="62">
        <f>1303477/639863</f>
        <v>2.0371188832609479</v>
      </c>
      <c r="O23" s="46">
        <f>1323466/639863</f>
        <v>2.0683583829663537</v>
      </c>
      <c r="P23" s="46">
        <f>16675814/((2218710+35952751)/2)</f>
        <v>0.87373202718124932</v>
      </c>
      <c r="Q23" s="218"/>
    </row>
    <row r="24" spans="1:17" ht="121.5" customHeight="1">
      <c r="A24" s="3" t="s">
        <v>84</v>
      </c>
      <c r="B24" s="28">
        <f>250-250+38.8/250</f>
        <v>0.15519999999999998</v>
      </c>
      <c r="C24" s="28">
        <f>250-250+38.8/250</f>
        <v>0.15519999999999998</v>
      </c>
      <c r="D24" s="71" t="s">
        <v>85</v>
      </c>
      <c r="E24" s="71" t="s">
        <v>200</v>
      </c>
      <c r="F24" s="71" t="s">
        <v>86</v>
      </c>
      <c r="H24" s="28">
        <v>0</v>
      </c>
      <c r="I24" s="28">
        <v>0</v>
      </c>
      <c r="J24" s="28">
        <f>250-250+38.8/250</f>
        <v>0.15519999999999998</v>
      </c>
      <c r="K24" s="28">
        <f>250-250+38.8/250</f>
        <v>0.15519999999999998</v>
      </c>
      <c r="L24" s="86">
        <f>250-250+309.85/250</f>
        <v>1.2394000000000001</v>
      </c>
      <c r="M24" s="31">
        <v>0</v>
      </c>
      <c r="N24" s="31">
        <v>0</v>
      </c>
      <c r="O24" s="142">
        <v>0</v>
      </c>
      <c r="P24" s="72">
        <v>0</v>
      </c>
    </row>
    <row r="25" spans="1:17" ht="24" customHeight="1">
      <c r="A25" s="334" t="s">
        <v>26</v>
      </c>
      <c r="B25" s="24">
        <f>B26/B28</f>
        <v>2.2403574791491167E-2</v>
      </c>
      <c r="C25" s="24">
        <f>C26/C28</f>
        <v>6.9285865776833409E-3</v>
      </c>
      <c r="D25" s="56" t="s">
        <v>87</v>
      </c>
      <c r="E25" s="340" t="s">
        <v>201</v>
      </c>
      <c r="F25" s="340" t="s">
        <v>93</v>
      </c>
      <c r="G25" s="350" t="s">
        <v>212</v>
      </c>
      <c r="H25" s="24">
        <f>H26/H28</f>
        <v>2.9503369455488181E-3</v>
      </c>
      <c r="I25" s="24">
        <f>I26/I28</f>
        <v>5.0033097384304696E-3</v>
      </c>
      <c r="J25" s="24">
        <f>J26/J28</f>
        <v>6.9285865776833409E-3</v>
      </c>
      <c r="K25" s="24">
        <f>K26/K28</f>
        <v>9.23811543691112E-3</v>
      </c>
      <c r="L25" s="60">
        <f>L26/L28</f>
        <v>2.0258207807486751E-2</v>
      </c>
      <c r="M25" s="31">
        <v>0.03</v>
      </c>
      <c r="N25" s="60">
        <f>N26/N28</f>
        <v>2.5504905220279473E-2</v>
      </c>
      <c r="O25" s="141">
        <f>O26/O28</f>
        <v>4.6435021719695027E-3</v>
      </c>
      <c r="P25" s="102">
        <f>P26/P28</f>
        <v>0.13317513458657038</v>
      </c>
    </row>
    <row r="26" spans="1:17" ht="39">
      <c r="A26" s="334"/>
      <c r="B26" s="71">
        <f>517502</f>
        <v>517502</v>
      </c>
      <c r="C26" s="71">
        <f>517502</f>
        <v>517502</v>
      </c>
      <c r="D26" s="56" t="s">
        <v>88</v>
      </c>
      <c r="E26" s="340"/>
      <c r="F26" s="340"/>
      <c r="G26" s="350"/>
      <c r="H26" s="71">
        <v>184629</v>
      </c>
      <c r="I26" s="71">
        <v>347304</v>
      </c>
      <c r="J26" s="71">
        <f>517502</f>
        <v>517502</v>
      </c>
      <c r="K26" s="25">
        <f>J26/3*4</f>
        <v>690002.66666666663</v>
      </c>
      <c r="L26" s="31">
        <v>1589104</v>
      </c>
      <c r="M26" s="31"/>
      <c r="N26" s="31">
        <v>1905838</v>
      </c>
      <c r="O26" s="31">
        <v>382578</v>
      </c>
      <c r="P26" s="142">
        <v>16675814</v>
      </c>
      <c r="Q26" s="218"/>
    </row>
    <row r="27" spans="1:17" ht="26.25">
      <c r="A27" s="334"/>
      <c r="B27" s="25"/>
      <c r="C27" s="25"/>
      <c r="D27" s="56" t="s">
        <v>89</v>
      </c>
      <c r="E27" s="340"/>
      <c r="F27" s="340"/>
      <c r="G27" s="350"/>
      <c r="H27" s="25"/>
      <c r="I27" s="25"/>
      <c r="J27" s="25"/>
      <c r="K27" s="25"/>
      <c r="L27" s="31"/>
      <c r="M27" s="31"/>
      <c r="N27" s="31"/>
      <c r="O27" s="31"/>
      <c r="P27" s="137"/>
    </row>
    <row r="28" spans="1:17">
      <c r="A28" s="334"/>
      <c r="B28" s="25">
        <f>(B29+B30)/2</f>
        <v>23099081.5</v>
      </c>
      <c r="C28" s="25">
        <f>(C29+C30)/2</f>
        <v>74690847</v>
      </c>
      <c r="D28" s="56" t="s">
        <v>90</v>
      </c>
      <c r="E28" s="340"/>
      <c r="F28" s="340"/>
      <c r="G28" s="350"/>
      <c r="H28" s="25">
        <f>(H29+H30)/2</f>
        <v>62578954</v>
      </c>
      <c r="I28" s="25">
        <f>(I29+I30)/2</f>
        <v>69414851</v>
      </c>
      <c r="J28" s="25">
        <f>(J29+J30)/2</f>
        <v>74690847</v>
      </c>
      <c r="K28" s="25">
        <f>(K29+K30)/2</f>
        <v>74690847</v>
      </c>
      <c r="L28" s="68">
        <f>(L29+L30)/2</f>
        <v>78442477</v>
      </c>
      <c r="M28" s="31"/>
      <c r="N28" s="68">
        <f>(N29+N30)/2</f>
        <v>74724371</v>
      </c>
      <c r="O28" s="68">
        <f>(O29+O30)/2</f>
        <v>82389969</v>
      </c>
      <c r="P28" s="101">
        <f>(P29+P30)/2</f>
        <v>125217174</v>
      </c>
    </row>
    <row r="29" spans="1:17" ht="34.5" customHeight="1">
      <c r="A29" s="334"/>
      <c r="B29" s="71">
        <f>67335177-32314063-4027553-11038005</f>
        <v>19955556</v>
      </c>
      <c r="C29" s="71">
        <f>67335177</f>
        <v>67335177</v>
      </c>
      <c r="D29" s="56" t="s">
        <v>91</v>
      </c>
      <c r="E29" s="340"/>
      <c r="F29" s="340"/>
      <c r="G29" s="350"/>
      <c r="H29" s="71">
        <f>67335177</f>
        <v>67335177</v>
      </c>
      <c r="I29" s="71">
        <f>67335177</f>
        <v>67335177</v>
      </c>
      <c r="J29" s="71">
        <f>67335177</f>
        <v>67335177</v>
      </c>
      <c r="K29" s="71">
        <f>67335177</f>
        <v>67335177</v>
      </c>
      <c r="L29" s="31">
        <v>70180539</v>
      </c>
      <c r="M29" s="31"/>
      <c r="N29" s="31">
        <v>70180539</v>
      </c>
      <c r="O29" s="31">
        <v>80651896</v>
      </c>
      <c r="P29" s="142">
        <v>97646248</v>
      </c>
      <c r="Q29" s="218"/>
    </row>
    <row r="30" spans="1:17" ht="38.25" customHeight="1">
      <c r="A30" s="334"/>
      <c r="B30" s="71">
        <f>82046517-49629686-1582605-4591619</f>
        <v>26242607</v>
      </c>
      <c r="C30" s="71">
        <f>82046517</f>
        <v>82046517</v>
      </c>
      <c r="D30" s="56" t="s">
        <v>92</v>
      </c>
      <c r="E30" s="340"/>
      <c r="F30" s="340"/>
      <c r="G30" s="350"/>
      <c r="H30" s="71">
        <v>57822731</v>
      </c>
      <c r="I30" s="71">
        <v>71494525</v>
      </c>
      <c r="J30" s="71">
        <f>82046517</f>
        <v>82046517</v>
      </c>
      <c r="K30" s="71">
        <f>J30</f>
        <v>82046517</v>
      </c>
      <c r="L30" s="31">
        <v>86704415</v>
      </c>
      <c r="M30" s="31"/>
      <c r="N30" s="31">
        <v>79268203</v>
      </c>
      <c r="O30" s="151">
        <v>84128042</v>
      </c>
      <c r="P30" s="142">
        <v>152788100</v>
      </c>
      <c r="Q30" s="218"/>
    </row>
    <row r="31" spans="1:17" ht="30" customHeight="1">
      <c r="A31" s="334" t="s">
        <v>28</v>
      </c>
      <c r="B31" s="28">
        <f>B32/B33</f>
        <v>0.5350658455514048</v>
      </c>
      <c r="C31" s="28">
        <f>C32/C33</f>
        <v>0.12912495197622714</v>
      </c>
      <c r="D31" s="56" t="s">
        <v>94</v>
      </c>
      <c r="E31" s="340" t="s">
        <v>202</v>
      </c>
      <c r="F31" s="340" t="s">
        <v>97</v>
      </c>
      <c r="G31" s="350" t="s">
        <v>213</v>
      </c>
      <c r="H31" s="28">
        <f>H32/H33</f>
        <v>0.17007642194878878</v>
      </c>
      <c r="I31" s="28">
        <f>I32/I33</f>
        <v>0.148235670402456</v>
      </c>
      <c r="J31" s="28">
        <f>J32/J33</f>
        <v>0.12912495197622714</v>
      </c>
      <c r="K31" s="28">
        <f>K32/K33</f>
        <v>0.12912495197622714</v>
      </c>
      <c r="L31" s="60">
        <f>L32/L33</f>
        <v>2.1125688391199916E-2</v>
      </c>
      <c r="M31" s="31">
        <v>5.0000000000000001E-3</v>
      </c>
      <c r="N31" s="60">
        <f>N32/N33</f>
        <v>3.5525470699123069E-3</v>
      </c>
      <c r="O31" s="141">
        <f>O32/O33</f>
        <v>3.6765727635205583E-3</v>
      </c>
      <c r="P31" s="102">
        <f>P32/P33</f>
        <v>3.2136752164388667E-2</v>
      </c>
    </row>
    <row r="32" spans="1:17" ht="26.25">
      <c r="A32" s="334"/>
      <c r="B32" s="71">
        <f>9869808</f>
        <v>9869808</v>
      </c>
      <c r="C32" s="71">
        <f>9869808</f>
        <v>9869808</v>
      </c>
      <c r="D32" s="56" t="s">
        <v>95</v>
      </c>
      <c r="E32" s="340"/>
      <c r="F32" s="340"/>
      <c r="G32" s="350"/>
      <c r="H32" s="71">
        <f>8917657</f>
        <v>8917657</v>
      </c>
      <c r="I32" s="71">
        <f>9782823</f>
        <v>9782823</v>
      </c>
      <c r="J32" s="71">
        <f>9869808</f>
        <v>9869808</v>
      </c>
      <c r="K32" s="71">
        <f>9869808</f>
        <v>9869808</v>
      </c>
      <c r="L32" s="31">
        <f>110308+535245+826808</f>
        <v>1472361</v>
      </c>
      <c r="M32" s="31"/>
      <c r="N32" s="31">
        <v>223302</v>
      </c>
      <c r="O32" s="31">
        <v>256908</v>
      </c>
      <c r="P32" s="142">
        <v>3577957</v>
      </c>
      <c r="Q32" s="218"/>
    </row>
    <row r="33" spans="1:17" ht="26.25">
      <c r="A33" s="334"/>
      <c r="B33" s="71">
        <f>76436102-33758250-15597883-8634000</f>
        <v>18445969</v>
      </c>
      <c r="C33" s="71">
        <f>76436102</f>
        <v>76436102</v>
      </c>
      <c r="D33" s="56" t="s">
        <v>96</v>
      </c>
      <c r="E33" s="340"/>
      <c r="F33" s="340"/>
      <c r="G33" s="350"/>
      <c r="H33" s="71">
        <v>52433235</v>
      </c>
      <c r="I33" s="71">
        <v>65995067</v>
      </c>
      <c r="J33" s="71">
        <f>76436102</f>
        <v>76436102</v>
      </c>
      <c r="K33" s="71">
        <f>J33</f>
        <v>76436102</v>
      </c>
      <c r="L33" s="31">
        <v>69695291</v>
      </c>
      <c r="M33" s="31"/>
      <c r="N33" s="31">
        <v>62856873</v>
      </c>
      <c r="O33" s="31">
        <v>69877034</v>
      </c>
      <c r="P33" s="142">
        <v>111335364</v>
      </c>
      <c r="Q33" s="218"/>
    </row>
    <row r="34" spans="1:17" ht="36.75" customHeight="1">
      <c r="A34" s="334" t="s">
        <v>30</v>
      </c>
      <c r="B34" s="29">
        <f>B35/(B36-B37)</f>
        <v>0.78676026691777556</v>
      </c>
      <c r="C34" s="28">
        <f>5610415/(C36-C37)</f>
        <v>8.3379645739997954E-2</v>
      </c>
      <c r="D34" s="56" t="s">
        <v>98</v>
      </c>
      <c r="E34" s="340" t="s">
        <v>203</v>
      </c>
      <c r="F34" s="340" t="s">
        <v>102</v>
      </c>
      <c r="G34" s="350" t="s">
        <v>218</v>
      </c>
      <c r="H34" s="28">
        <f>H35/(H36-H37)</f>
        <v>0.12258529589933401</v>
      </c>
      <c r="I34" s="28">
        <f>I35/(I36-I37)</f>
        <v>9.6775262438584544E-2</v>
      </c>
      <c r="J34" s="28">
        <f>5610415/(J36-J37)</f>
        <v>8.3379645739997954E-2</v>
      </c>
      <c r="K34" s="28">
        <f>5610415/(K36-K37)</f>
        <v>8.3379645739997954E-2</v>
      </c>
      <c r="L34" s="62">
        <f>L35/(L36-L37)</f>
        <v>0.11545460079935674</v>
      </c>
      <c r="M34" s="62">
        <v>0.1</v>
      </c>
      <c r="N34" s="62">
        <f>N35/(N36-N37)</f>
        <v>0.12956929944637877</v>
      </c>
      <c r="O34" s="46">
        <f>O35/(O36-O37)</f>
        <v>0.11607570521668106</v>
      </c>
      <c r="P34" s="103">
        <f>P35/(P36-P37)</f>
        <v>0.32292301123657352</v>
      </c>
    </row>
    <row r="35" spans="1:17" ht="53.25" customHeight="1">
      <c r="A35" s="334"/>
      <c r="B35" s="71">
        <f>5610415</f>
        <v>5610415</v>
      </c>
      <c r="C35" s="71">
        <f>5610415</f>
        <v>5610415</v>
      </c>
      <c r="D35" s="56" t="s">
        <v>99</v>
      </c>
      <c r="E35" s="340"/>
      <c r="F35" s="340"/>
      <c r="G35" s="350"/>
      <c r="H35" s="71">
        <v>5389496</v>
      </c>
      <c r="I35" s="71">
        <v>5499458</v>
      </c>
      <c r="J35" s="71">
        <f>5610415</f>
        <v>5610415</v>
      </c>
      <c r="K35" s="71">
        <f>5610415</f>
        <v>5610415</v>
      </c>
      <c r="L35" s="31">
        <v>8046642</v>
      </c>
      <c r="M35" s="31"/>
      <c r="N35" s="31">
        <v>8144321</v>
      </c>
      <c r="O35" s="31">
        <v>8111026</v>
      </c>
      <c r="P35" s="142">
        <v>35952751</v>
      </c>
      <c r="Q35" s="218"/>
    </row>
    <row r="36" spans="1:17" ht="18" customHeight="1">
      <c r="A36" s="334"/>
      <c r="B36" s="71">
        <f>76436102-33758250-15597883-10800417</f>
        <v>16279552</v>
      </c>
      <c r="C36" s="71">
        <f>76436102</f>
        <v>76436102</v>
      </c>
      <c r="D36" s="56" t="s">
        <v>100</v>
      </c>
      <c r="E36" s="340"/>
      <c r="F36" s="340"/>
      <c r="G36" s="350"/>
      <c r="H36" s="71">
        <v>52433235</v>
      </c>
      <c r="I36" s="71">
        <v>65995067</v>
      </c>
      <c r="J36" s="71">
        <f>76436102</f>
        <v>76436102</v>
      </c>
      <c r="K36" s="71">
        <f>J36</f>
        <v>76436102</v>
      </c>
      <c r="L36" s="31">
        <f>78657773</f>
        <v>78657773</v>
      </c>
      <c r="M36" s="31"/>
      <c r="N36" s="31">
        <v>71123882</v>
      </c>
      <c r="O36" s="31">
        <v>76017016</v>
      </c>
      <c r="P36" s="142">
        <v>116835349</v>
      </c>
      <c r="Q36" s="218"/>
    </row>
    <row r="37" spans="1:17" ht="39" customHeight="1">
      <c r="A37" s="334"/>
      <c r="B37" s="71">
        <v>9148517</v>
      </c>
      <c r="C37" s="71">
        <v>9148517</v>
      </c>
      <c r="D37" s="56" t="s">
        <v>101</v>
      </c>
      <c r="E37" s="340"/>
      <c r="F37" s="340"/>
      <c r="G37" s="350"/>
      <c r="H37" s="71">
        <v>8467962</v>
      </c>
      <c r="I37" s="71">
        <f>8467962+700000</f>
        <v>9167962</v>
      </c>
      <c r="J37" s="71">
        <v>9148517</v>
      </c>
      <c r="K37" s="71">
        <f>J37</f>
        <v>9148517</v>
      </c>
      <c r="L37" s="31">
        <v>8962482</v>
      </c>
      <c r="M37" s="31"/>
      <c r="N37" s="31">
        <v>8267009</v>
      </c>
      <c r="O37" s="31">
        <v>6139982</v>
      </c>
      <c r="P37" s="142">
        <v>5499985</v>
      </c>
      <c r="Q37" s="218"/>
    </row>
    <row r="38" spans="1:17" ht="25.5" customHeight="1">
      <c r="A38" s="334" t="s">
        <v>32</v>
      </c>
      <c r="B38" s="29">
        <f>B40/(B39/B41)</f>
        <v>10.410612570309821</v>
      </c>
      <c r="C38" s="29">
        <f>C40/(C39/C41)</f>
        <v>69.034826266322185</v>
      </c>
      <c r="D38" s="56" t="s">
        <v>103</v>
      </c>
      <c r="E38" s="340" t="s">
        <v>204</v>
      </c>
      <c r="F38" s="340" t="s">
        <v>107</v>
      </c>
      <c r="G38" s="350" t="s">
        <v>213</v>
      </c>
      <c r="H38" s="29">
        <f>H40/(H39/H41)</f>
        <v>190.77668209060977</v>
      </c>
      <c r="I38" s="29">
        <f>I40/(I39/I41)</f>
        <v>120.33528609415559</v>
      </c>
      <c r="J38" s="29">
        <f>J40/(J39/J41)</f>
        <v>69.034826266322185</v>
      </c>
      <c r="K38" s="29">
        <f>K40/((K39/K41)/2)</f>
        <v>103.55223939948327</v>
      </c>
      <c r="L38" s="88">
        <f>L40/(L39/L41)</f>
        <v>104.57188830980415</v>
      </c>
      <c r="M38" s="88">
        <v>86</v>
      </c>
      <c r="N38" s="88">
        <f>N40/(N39/N41)</f>
        <v>31.118430454297378</v>
      </c>
      <c r="O38" s="143">
        <f>O40/(O39/O41)</f>
        <v>9.4331270935535159</v>
      </c>
      <c r="P38" s="87">
        <f>P40/(P39/P41)</f>
        <v>18.011837634449748</v>
      </c>
    </row>
    <row r="39" spans="1:17" ht="68.25" customHeight="1">
      <c r="A39" s="334"/>
      <c r="B39" s="71">
        <v>62516693</v>
      </c>
      <c r="C39" s="71">
        <v>62516693</v>
      </c>
      <c r="D39" s="56" t="s">
        <v>104</v>
      </c>
      <c r="E39" s="340"/>
      <c r="F39" s="340"/>
      <c r="G39" s="350"/>
      <c r="H39" s="71">
        <v>17693919</v>
      </c>
      <c r="I39" s="71">
        <v>38811034</v>
      </c>
      <c r="J39" s="71">
        <v>62516693</v>
      </c>
      <c r="K39" s="25">
        <f>J39/3*4</f>
        <v>83355590.666666672</v>
      </c>
      <c r="L39" s="31">
        <v>46104172</v>
      </c>
      <c r="M39" s="31"/>
      <c r="N39" s="92">
        <v>102585404</v>
      </c>
      <c r="O39" s="31">
        <v>115979242</v>
      </c>
      <c r="P39" s="142">
        <v>156305891</v>
      </c>
      <c r="Q39" s="218"/>
    </row>
    <row r="40" spans="1:17" ht="30.75" customHeight="1">
      <c r="A40" s="334"/>
      <c r="B40" s="71">
        <v>90</v>
      </c>
      <c r="C40" s="71">
        <v>90</v>
      </c>
      <c r="D40" s="56" t="s">
        <v>105</v>
      </c>
      <c r="E40" s="340"/>
      <c r="F40" s="340"/>
      <c r="G40" s="350"/>
      <c r="H40" s="71">
        <v>90</v>
      </c>
      <c r="I40" s="71">
        <v>90</v>
      </c>
      <c r="J40" s="71">
        <v>90</v>
      </c>
      <c r="K40" s="71">
        <v>90</v>
      </c>
      <c r="L40" s="31">
        <v>90</v>
      </c>
      <c r="M40" s="31"/>
      <c r="N40" s="31">
        <v>90</v>
      </c>
      <c r="O40" s="31">
        <v>90</v>
      </c>
      <c r="P40" s="137">
        <v>90</v>
      </c>
      <c r="Q40" s="218"/>
    </row>
    <row r="41" spans="1:17" ht="99.75" customHeight="1">
      <c r="A41" s="334"/>
      <c r="B41" s="71">
        <f>47953656-33758250-15597883--8634000</f>
        <v>7231523</v>
      </c>
      <c r="C41" s="71">
        <f>47953656</f>
        <v>47953656</v>
      </c>
      <c r="D41" s="56" t="s">
        <v>106</v>
      </c>
      <c r="E41" s="340"/>
      <c r="F41" s="340"/>
      <c r="G41" s="350"/>
      <c r="H41" s="71">
        <f>37506524</f>
        <v>37506524</v>
      </c>
      <c r="I41" s="71">
        <f>51892632</f>
        <v>51892632</v>
      </c>
      <c r="J41" s="71">
        <f>47953656</f>
        <v>47953656</v>
      </c>
      <c r="K41" s="71">
        <f>J41</f>
        <v>47953656</v>
      </c>
      <c r="L41" s="68">
        <f>(41047114+66090671)/2</f>
        <v>53568892.5</v>
      </c>
      <c r="M41" s="31"/>
      <c r="N41" s="31">
        <v>35469964</v>
      </c>
      <c r="O41" s="31">
        <v>12156077</v>
      </c>
      <c r="P41" s="142">
        <v>31281737</v>
      </c>
      <c r="Q41" s="218"/>
    </row>
    <row r="42" spans="1:17" s="57" customFormat="1" ht="15" customHeight="1">
      <c r="A42" s="340" t="s">
        <v>34</v>
      </c>
      <c r="B42" s="29">
        <f>B44/(B43/B45)</f>
        <v>1.462351343504366</v>
      </c>
      <c r="C42" s="29">
        <f>C44/(C43/C45)</f>
        <v>10.350855570687337</v>
      </c>
      <c r="D42" s="56" t="s">
        <v>108</v>
      </c>
      <c r="E42" s="340" t="s">
        <v>205</v>
      </c>
      <c r="F42" s="340" t="s">
        <v>112</v>
      </c>
      <c r="G42" s="350" t="s">
        <v>214</v>
      </c>
      <c r="H42" s="29">
        <f>H44/(H43/H45)</f>
        <v>75.780891163794749</v>
      </c>
      <c r="I42" s="29">
        <f>I44/(I43/I45)</f>
        <v>32.253753919568339</v>
      </c>
      <c r="J42" s="29">
        <f>J44/(J43/J45)</f>
        <v>10.350855570687337</v>
      </c>
      <c r="K42" s="29">
        <f>K44/(K43/K45)</f>
        <v>7.7631416780155016</v>
      </c>
      <c r="L42" s="88">
        <f>L44/(L43/L45)</f>
        <v>38.759709967245477</v>
      </c>
      <c r="M42" s="31">
        <v>21.7</v>
      </c>
      <c r="N42" s="88">
        <f>N44/(N43/N45)</f>
        <v>14.574668146747269</v>
      </c>
      <c r="O42" s="143">
        <f>O44/(O43/O45)</f>
        <v>11.392683097549474</v>
      </c>
      <c r="P42" s="87">
        <f>P44/(P43/P45)</f>
        <v>8.5718608008190813</v>
      </c>
    </row>
    <row r="43" spans="1:17" s="57" customFormat="1" ht="51.75">
      <c r="A43" s="340"/>
      <c r="B43" s="71">
        <v>62516693</v>
      </c>
      <c r="C43" s="71">
        <v>62516693</v>
      </c>
      <c r="D43" s="56" t="s">
        <v>109</v>
      </c>
      <c r="E43" s="340"/>
      <c r="F43" s="340"/>
      <c r="G43" s="350"/>
      <c r="H43" s="71">
        <f>H39</f>
        <v>17693919</v>
      </c>
      <c r="I43" s="71">
        <f>I39</f>
        <v>38811034</v>
      </c>
      <c r="J43" s="71">
        <v>62516693</v>
      </c>
      <c r="K43" s="25">
        <f>K39</f>
        <v>83355590.666666672</v>
      </c>
      <c r="L43" s="31">
        <v>46104172</v>
      </c>
      <c r="M43" s="31"/>
      <c r="N43" s="31">
        <f t="shared" ref="N43:P44" si="0">N39</f>
        <v>102585404</v>
      </c>
      <c r="O43" s="137">
        <f t="shared" si="0"/>
        <v>115979242</v>
      </c>
      <c r="P43" s="142">
        <f t="shared" si="0"/>
        <v>156305891</v>
      </c>
    </row>
    <row r="44" spans="1:17" s="57" customFormat="1">
      <c r="A44" s="340"/>
      <c r="B44" s="71">
        <v>90</v>
      </c>
      <c r="C44" s="71">
        <v>90</v>
      </c>
      <c r="D44" s="56" t="s">
        <v>110</v>
      </c>
      <c r="E44" s="340"/>
      <c r="F44" s="340"/>
      <c r="G44" s="350"/>
      <c r="H44" s="71">
        <v>90</v>
      </c>
      <c r="I44" s="71">
        <v>90</v>
      </c>
      <c r="J44" s="71">
        <v>90</v>
      </c>
      <c r="K44" s="71">
        <v>90</v>
      </c>
      <c r="L44" s="31">
        <v>90</v>
      </c>
      <c r="M44" s="31"/>
      <c r="N44" s="31">
        <f t="shared" si="0"/>
        <v>90</v>
      </c>
      <c r="O44" s="31">
        <f t="shared" si="0"/>
        <v>90</v>
      </c>
      <c r="P44" s="137">
        <f t="shared" si="0"/>
        <v>90</v>
      </c>
      <c r="Q44" s="218"/>
    </row>
    <row r="45" spans="1:17" s="57" customFormat="1" ht="51.75">
      <c r="A45" s="340"/>
      <c r="B45" s="71">
        <f>7190014-1582602-4591619</f>
        <v>1015793</v>
      </c>
      <c r="C45" s="71">
        <f>7190014</f>
        <v>7190014</v>
      </c>
      <c r="D45" s="56" t="s">
        <v>265</v>
      </c>
      <c r="E45" s="340"/>
      <c r="F45" s="340"/>
      <c r="G45" s="350"/>
      <c r="H45" s="71">
        <v>14898455</v>
      </c>
      <c r="I45" s="71">
        <f>13908906</f>
        <v>13908906</v>
      </c>
      <c r="J45" s="71">
        <f>7190014</f>
        <v>7190014</v>
      </c>
      <c r="K45" s="71">
        <f>J45</f>
        <v>7190014</v>
      </c>
      <c r="L45" s="31">
        <f>(15701056+24009707)/2</f>
        <v>19855381.5</v>
      </c>
      <c r="M45" s="31"/>
      <c r="N45" s="31">
        <v>16612758</v>
      </c>
      <c r="O45" s="31">
        <v>14681275</v>
      </c>
      <c r="P45" s="142">
        <v>14887026</v>
      </c>
      <c r="Q45" s="218"/>
    </row>
    <row r="46" spans="1:17" ht="39" customHeight="1">
      <c r="A46" s="334" t="s">
        <v>36</v>
      </c>
      <c r="B46" s="28">
        <f>B47/(B48-B49)</f>
        <v>1.3240730034044115</v>
      </c>
      <c r="C46" s="28">
        <f>C47/(C48-C49)</f>
        <v>1.0171406062500237</v>
      </c>
      <c r="D46" s="56" t="s">
        <v>113</v>
      </c>
      <c r="E46" s="340" t="s">
        <v>206</v>
      </c>
      <c r="F46" s="340" t="s">
        <v>115</v>
      </c>
      <c r="G46" s="350" t="s">
        <v>215</v>
      </c>
      <c r="H46" s="28">
        <f>H47/(H48-H49)</f>
        <v>1.1191881904912304</v>
      </c>
      <c r="I46" s="28">
        <f>I47/(I48-I49)</f>
        <v>1.1086661475389596</v>
      </c>
      <c r="J46" s="28">
        <f>J47/(J48-J49)</f>
        <v>1.0171406062500237</v>
      </c>
      <c r="K46" s="28">
        <f>K47/(K48-K49)</f>
        <v>1.0171406062500237</v>
      </c>
      <c r="L46" s="62">
        <f>L47/(L48-L49)</f>
        <v>0.95315012028574497</v>
      </c>
      <c r="M46" s="31">
        <v>0.96</v>
      </c>
      <c r="N46" s="62">
        <f>N47/(N48-N49)</f>
        <v>0.95206075555174374</v>
      </c>
      <c r="O46" s="46">
        <f>O47/(O48-O49)</f>
        <v>0.94899742023967415</v>
      </c>
      <c r="P46" s="103">
        <f>P47/(P48-P49)</f>
        <v>1.1701362740413728</v>
      </c>
    </row>
    <row r="47" spans="1:17" ht="39">
      <c r="A47" s="334"/>
      <c r="B47" s="71">
        <f>68440935</f>
        <v>68440935</v>
      </c>
      <c r="C47" s="71">
        <f>68440935</f>
        <v>68440935</v>
      </c>
      <c r="D47" s="56" t="s">
        <v>266</v>
      </c>
      <c r="E47" s="340"/>
      <c r="F47" s="340"/>
      <c r="G47" s="350"/>
      <c r="H47" s="71">
        <v>48702121</v>
      </c>
      <c r="I47" s="71">
        <f>62320612</f>
        <v>62320612</v>
      </c>
      <c r="J47" s="71">
        <f>68440935</f>
        <v>68440935</v>
      </c>
      <c r="K47" s="71">
        <f>68440935</f>
        <v>68440935</v>
      </c>
      <c r="L47" s="31">
        <v>66430075</v>
      </c>
      <c r="M47" s="31"/>
      <c r="N47" s="31">
        <v>59843562</v>
      </c>
      <c r="O47" s="31">
        <v>66313125</v>
      </c>
      <c r="P47" s="142">
        <v>130277548</v>
      </c>
      <c r="Q47" s="218"/>
    </row>
    <row r="48" spans="1:17" s="94" customFormat="1" ht="16.5" customHeight="1">
      <c r="A48" s="334"/>
      <c r="B48" s="91">
        <f>76436102-15597886</f>
        <v>60838216</v>
      </c>
      <c r="C48" s="91">
        <f>76436102</f>
        <v>76436102</v>
      </c>
      <c r="D48" s="112" t="s">
        <v>261</v>
      </c>
      <c r="E48" s="340"/>
      <c r="F48" s="340"/>
      <c r="G48" s="350"/>
      <c r="H48" s="91">
        <v>52433235</v>
      </c>
      <c r="I48" s="91">
        <f>I33</f>
        <v>65995067</v>
      </c>
      <c r="J48" s="91">
        <f>76436102</f>
        <v>76436102</v>
      </c>
      <c r="K48" s="91">
        <f>J48</f>
        <v>76436102</v>
      </c>
      <c r="L48" s="92">
        <f>78657773</f>
        <v>78657773</v>
      </c>
      <c r="M48" s="92"/>
      <c r="N48" s="92">
        <f t="shared" ref="N48:O49" si="1">N36</f>
        <v>71123882</v>
      </c>
      <c r="O48" s="92">
        <f t="shared" si="1"/>
        <v>76017016</v>
      </c>
      <c r="P48" s="214">
        <f>P36</f>
        <v>116835349</v>
      </c>
      <c r="Q48" s="219"/>
    </row>
    <row r="49" spans="1:18" ht="57.75" customHeight="1">
      <c r="A49" s="334"/>
      <c r="B49" s="71">
        <v>9148517</v>
      </c>
      <c r="C49" s="71">
        <v>9148517</v>
      </c>
      <c r="D49" s="56" t="s">
        <v>101</v>
      </c>
      <c r="E49" s="340"/>
      <c r="F49" s="340"/>
      <c r="G49" s="350"/>
      <c r="H49" s="71">
        <f>8917657</f>
        <v>8917657</v>
      </c>
      <c r="I49" s="71">
        <f>9782823</f>
        <v>9782823</v>
      </c>
      <c r="J49" s="71">
        <v>9148517</v>
      </c>
      <c r="K49" s="71">
        <f>K37</f>
        <v>9148517</v>
      </c>
      <c r="L49" s="31">
        <v>8962482</v>
      </c>
      <c r="M49" s="31"/>
      <c r="N49" s="31">
        <f t="shared" si="1"/>
        <v>8267009</v>
      </c>
      <c r="O49" s="31">
        <f t="shared" si="1"/>
        <v>6139982</v>
      </c>
      <c r="P49" s="142">
        <f>P37</f>
        <v>5499985</v>
      </c>
      <c r="Q49" s="57"/>
    </row>
    <row r="50" spans="1:18" ht="21" customHeight="1">
      <c r="A50" s="334" t="s">
        <v>116</v>
      </c>
      <c r="B50" s="28">
        <f>B51/B53</f>
        <v>0.29976457435512555</v>
      </c>
      <c r="C50" s="28">
        <f>C51/C53</f>
        <v>0.29976457435512555</v>
      </c>
      <c r="D50" s="56" t="s">
        <v>117</v>
      </c>
      <c r="E50" s="340" t="s">
        <v>207</v>
      </c>
      <c r="F50" s="340" t="s">
        <v>208</v>
      </c>
      <c r="H50" s="28"/>
      <c r="I50" s="28"/>
      <c r="J50" s="28">
        <f>J51/J53</f>
        <v>0.29976457435512555</v>
      </c>
      <c r="K50" s="28">
        <f>K51/K53</f>
        <v>0.29976457435512555</v>
      </c>
      <c r="L50" s="62">
        <f>L51/L53</f>
        <v>0.69490943475885791</v>
      </c>
      <c r="M50" s="366" t="s">
        <v>263</v>
      </c>
      <c r="N50" s="62">
        <f>N51/N53</f>
        <v>0.49943343786161426</v>
      </c>
      <c r="O50" s="46">
        <f>O51/O53</f>
        <v>599.67379320261239</v>
      </c>
      <c r="P50" s="46">
        <f>P51/P53</f>
        <v>0.16657433427163082</v>
      </c>
    </row>
    <row r="51" spans="1:18" ht="35.25" customHeight="1">
      <c r="A51" s="334"/>
      <c r="B51" s="71">
        <v>38.799999999999997</v>
      </c>
      <c r="C51" s="71">
        <v>38.799999999999997</v>
      </c>
      <c r="D51" s="56" t="s">
        <v>118</v>
      </c>
      <c r="E51" s="340"/>
      <c r="F51" s="340"/>
      <c r="H51" s="71"/>
      <c r="I51" s="71"/>
      <c r="J51" s="71">
        <v>38.799999999999997</v>
      </c>
      <c r="K51" s="71">
        <v>38.799999999999997</v>
      </c>
      <c r="L51" s="31">
        <v>309.85000000000002</v>
      </c>
      <c r="M51" s="366"/>
      <c r="N51" s="31">
        <v>309.85000000000002</v>
      </c>
      <c r="O51" s="89">
        <v>309.85000000000002</v>
      </c>
      <c r="P51" s="89">
        <v>1086.03</v>
      </c>
    </row>
    <row r="52" spans="1:18" ht="20.25" customHeight="1">
      <c r="A52" s="334"/>
      <c r="B52" s="71"/>
      <c r="C52" s="71"/>
      <c r="D52" s="56" t="s">
        <v>119</v>
      </c>
      <c r="E52" s="340"/>
      <c r="F52" s="340"/>
      <c r="H52" s="71"/>
      <c r="I52" s="71"/>
      <c r="J52" s="71"/>
      <c r="K52" s="71"/>
      <c r="L52" s="31"/>
      <c r="M52" s="366"/>
      <c r="N52" s="31"/>
      <c r="O52" s="72"/>
      <c r="P52" s="72"/>
    </row>
    <row r="53" spans="1:18" ht="20.25" customHeight="1">
      <c r="A53" s="334"/>
      <c r="B53" s="29">
        <f>(B54-B55)/B56</f>
        <v>129.43490765534673</v>
      </c>
      <c r="C53" s="24">
        <f>(C54-C55)/C56</f>
        <v>129.43490765534673</v>
      </c>
      <c r="D53" s="56" t="s">
        <v>120</v>
      </c>
      <c r="E53" s="340"/>
      <c r="F53" s="340"/>
      <c r="H53" s="24"/>
      <c r="I53" s="24"/>
      <c r="J53" s="24">
        <f>(J54-J55)/J56</f>
        <v>129.43490765534673</v>
      </c>
      <c r="K53" s="24">
        <f>(K54-K55)/K56</f>
        <v>129.43490765534673</v>
      </c>
      <c r="L53" s="60">
        <f>(L54-L55)/L56</f>
        <v>445.88544132736058</v>
      </c>
      <c r="M53" s="366"/>
      <c r="N53" s="60">
        <f>(N54-N55)/N56</f>
        <v>620.4029936935359</v>
      </c>
      <c r="O53" s="45">
        <f>(O54-O55)/O56</f>
        <v>0.51669758377336772</v>
      </c>
      <c r="P53" s="158">
        <f>(P54-P55)/P56</f>
        <v>6519.7919280230981</v>
      </c>
    </row>
    <row r="54" spans="1:18" s="94" customFormat="1" ht="44.25" customHeight="1">
      <c r="A54" s="334"/>
      <c r="B54" s="91">
        <v>331125000</v>
      </c>
      <c r="C54" s="91">
        <v>331125000</v>
      </c>
      <c r="D54" s="91" t="s">
        <v>262</v>
      </c>
      <c r="E54" s="340"/>
      <c r="F54" s="340"/>
      <c r="G54" s="113"/>
      <c r="H54" s="91"/>
      <c r="I54" s="91"/>
      <c r="J54" s="91">
        <v>331125000</v>
      </c>
      <c r="K54" s="91">
        <v>331125000</v>
      </c>
      <c r="L54" s="92">
        <v>1140408000</v>
      </c>
      <c r="M54" s="366"/>
      <c r="N54" s="92">
        <v>1586715000</v>
      </c>
      <c r="O54" s="93">
        <v>1323466</v>
      </c>
      <c r="P54" s="156">
        <v>16675814000</v>
      </c>
      <c r="R54" s="201"/>
    </row>
    <row r="55" spans="1:18" ht="33" customHeight="1">
      <c r="A55" s="334"/>
      <c r="B55" s="25">
        <v>111273.60000000001</v>
      </c>
      <c r="C55" s="25">
        <v>111273.60000000001</v>
      </c>
      <c r="D55" s="56" t="s">
        <v>121</v>
      </c>
      <c r="E55" s="340"/>
      <c r="F55" s="340"/>
      <c r="H55" s="29"/>
      <c r="I55" s="29"/>
      <c r="J55" s="25">
        <v>111273.60000000001</v>
      </c>
      <c r="K55" s="25">
        <v>111273.60000000001</v>
      </c>
      <c r="L55" s="25">
        <v>111273.60000000001</v>
      </c>
      <c r="M55" s="366"/>
      <c r="N55" s="31">
        <v>111273.60000000001</v>
      </c>
      <c r="O55" s="89">
        <v>2076</v>
      </c>
      <c r="P55" s="157">
        <v>2254598.2799999998</v>
      </c>
    </row>
    <row r="56" spans="1:18" ht="37.5" customHeight="1">
      <c r="A56" s="334"/>
      <c r="B56" s="71">
        <v>2557376</v>
      </c>
      <c r="C56" s="71">
        <v>2557376</v>
      </c>
      <c r="D56" s="56" t="s">
        <v>122</v>
      </c>
      <c r="E56" s="340"/>
      <c r="F56" s="340"/>
      <c r="H56" s="71"/>
      <c r="I56" s="71"/>
      <c r="J56" s="71">
        <v>2557376</v>
      </c>
      <c r="K56" s="71">
        <v>2557376</v>
      </c>
      <c r="L56" s="31">
        <v>2557376</v>
      </c>
      <c r="M56" s="366"/>
      <c r="N56" s="31">
        <v>2557376</v>
      </c>
      <c r="O56" s="72">
        <v>2557376</v>
      </c>
      <c r="P56" s="155">
        <v>2557376</v>
      </c>
    </row>
    <row r="57" spans="1:18" ht="96.75" customHeight="1">
      <c r="A57" s="3" t="s">
        <v>40</v>
      </c>
      <c r="B57" s="71"/>
      <c r="C57" s="71"/>
      <c r="D57" s="71" t="s">
        <v>123</v>
      </c>
      <c r="E57" s="71" t="s">
        <v>124</v>
      </c>
      <c r="F57" s="71" t="s">
        <v>125</v>
      </c>
      <c r="H57" s="71"/>
      <c r="I57" s="71"/>
      <c r="J57" s="71"/>
      <c r="K57" s="71"/>
      <c r="L57" s="31"/>
      <c r="M57" s="31"/>
      <c r="N57" s="31"/>
      <c r="O57" s="72"/>
      <c r="P57" s="72"/>
    </row>
    <row r="58" spans="1:18" ht="15.75">
      <c r="A58" s="4" t="s">
        <v>0</v>
      </c>
      <c r="B58" s="114"/>
      <c r="C58" s="114"/>
      <c r="D58" s="55"/>
      <c r="E58" s="55"/>
      <c r="F58" s="55"/>
    </row>
    <row r="59" spans="1:18" ht="15.75">
      <c r="A59" s="4"/>
      <c r="B59" s="114"/>
      <c r="C59" s="114"/>
      <c r="D59" s="55"/>
      <c r="E59" s="55"/>
      <c r="F59" s="55"/>
    </row>
    <row r="60" spans="1:18" ht="15.75">
      <c r="A60" s="349" t="s">
        <v>217</v>
      </c>
      <c r="B60" s="349"/>
      <c r="C60" s="349"/>
      <c r="D60" s="349"/>
      <c r="E60" s="349"/>
      <c r="F60" s="349"/>
    </row>
    <row r="61" spans="1:18" ht="15.75">
      <c r="A61" s="4"/>
      <c r="B61" s="114"/>
      <c r="C61" s="114"/>
      <c r="D61" s="55"/>
      <c r="E61" s="55"/>
      <c r="F61" s="55"/>
    </row>
    <row r="62" spans="1:18" ht="15.75">
      <c r="A62" s="4"/>
      <c r="B62" s="114"/>
      <c r="C62" s="114"/>
      <c r="D62" s="55"/>
      <c r="E62" s="55"/>
      <c r="F62" s="55"/>
    </row>
    <row r="63" spans="1:18" ht="15.75">
      <c r="A63" s="4"/>
      <c r="B63" s="114"/>
      <c r="C63" s="114"/>
      <c r="D63" s="55"/>
      <c r="E63" s="55"/>
      <c r="F63" s="55"/>
    </row>
    <row r="64" spans="1:18" ht="15.75">
      <c r="A64" s="4"/>
      <c r="B64" s="114"/>
      <c r="C64" s="114"/>
      <c r="D64" s="55"/>
      <c r="E64" s="55"/>
      <c r="F64" s="55"/>
    </row>
    <row r="65" spans="1:6">
      <c r="A65" s="2"/>
      <c r="B65" s="55"/>
      <c r="C65" s="55"/>
      <c r="D65" s="55"/>
      <c r="E65" s="55"/>
      <c r="F65" s="55"/>
    </row>
    <row r="67" spans="1:6">
      <c r="A67" s="338" t="s">
        <v>57</v>
      </c>
      <c r="B67" s="338"/>
      <c r="C67" s="338"/>
      <c r="D67" s="338"/>
      <c r="E67" s="338"/>
      <c r="F67" s="338"/>
    </row>
    <row r="68" spans="1:6">
      <c r="A68" s="338" t="s">
        <v>4</v>
      </c>
      <c r="B68" s="338"/>
      <c r="C68" s="338"/>
      <c r="D68" s="338"/>
      <c r="E68" s="338"/>
      <c r="F68" s="338"/>
    </row>
    <row r="69" spans="1:6" ht="18.75">
      <c r="A69" s="339" t="s">
        <v>58</v>
      </c>
      <c r="B69" s="339"/>
      <c r="C69" s="339"/>
      <c r="D69" s="339"/>
      <c r="E69" s="339"/>
      <c r="F69" s="339"/>
    </row>
    <row r="70" spans="1:6" ht="18.75">
      <c r="A70" s="339" t="s">
        <v>196</v>
      </c>
      <c r="B70" s="339"/>
      <c r="C70" s="339"/>
      <c r="D70" s="339"/>
      <c r="E70" s="339"/>
      <c r="F70" s="339"/>
    </row>
    <row r="71" spans="1:6" ht="16.5" thickBot="1">
      <c r="A71" s="1" t="s">
        <v>2</v>
      </c>
      <c r="B71" s="104"/>
      <c r="C71" s="104"/>
    </row>
    <row r="72" spans="1:6" ht="34.5" customHeight="1" thickBot="1">
      <c r="A72" s="11" t="s">
        <v>7</v>
      </c>
      <c r="B72" s="105" t="s">
        <v>209</v>
      </c>
      <c r="C72" s="105" t="s">
        <v>210</v>
      </c>
      <c r="D72" s="106" t="s">
        <v>59</v>
      </c>
      <c r="E72" s="105" t="s">
        <v>188</v>
      </c>
      <c r="F72" s="115" t="s">
        <v>60</v>
      </c>
    </row>
    <row r="73" spans="1:6" ht="27" customHeight="1" thickBot="1">
      <c r="A73" s="352" t="s">
        <v>61</v>
      </c>
      <c r="B73" s="353"/>
      <c r="C73" s="353"/>
      <c r="D73" s="354"/>
      <c r="E73" s="354"/>
      <c r="F73" s="355"/>
    </row>
    <row r="74" spans="1:6" ht="32.25" customHeight="1">
      <c r="A74" s="332" t="s">
        <v>197</v>
      </c>
      <c r="B74" s="25">
        <f>661788+487741+6510773</f>
        <v>7660302</v>
      </c>
      <c r="C74" s="25">
        <f>517502+507626+7373516</f>
        <v>8398644</v>
      </c>
      <c r="D74" s="110" t="s">
        <v>226</v>
      </c>
      <c r="E74" s="351" t="s">
        <v>198</v>
      </c>
      <c r="F74" s="351" t="s">
        <v>74</v>
      </c>
    </row>
    <row r="75" spans="1:6" ht="16.5" customHeight="1">
      <c r="A75" s="332"/>
      <c r="B75" s="71"/>
      <c r="C75" s="71"/>
      <c r="D75" s="71" t="s">
        <v>63</v>
      </c>
      <c r="E75" s="340"/>
      <c r="F75" s="340"/>
    </row>
    <row r="76" spans="1:6" ht="16.5" customHeight="1">
      <c r="A76" s="332"/>
      <c r="B76" s="340">
        <f>441694+181752+487741</f>
        <v>1111187</v>
      </c>
      <c r="C76" s="340">
        <f>337904+150463+507626</f>
        <v>995993</v>
      </c>
      <c r="D76" s="71" t="s">
        <v>64</v>
      </c>
      <c r="E76" s="340"/>
      <c r="F76" s="340"/>
    </row>
    <row r="77" spans="1:6" ht="16.5" customHeight="1">
      <c r="A77" s="332"/>
      <c r="B77" s="340"/>
      <c r="C77" s="340"/>
      <c r="D77" s="71" t="s">
        <v>65</v>
      </c>
      <c r="E77" s="340"/>
      <c r="F77" s="340"/>
    </row>
    <row r="78" spans="1:6" ht="16.5" customHeight="1">
      <c r="A78" s="332"/>
      <c r="B78" s="340"/>
      <c r="C78" s="340"/>
      <c r="D78" s="71" t="s">
        <v>66</v>
      </c>
      <c r="E78" s="340"/>
      <c r="F78" s="340"/>
    </row>
    <row r="79" spans="1:6" ht="16.5" customHeight="1">
      <c r="A79" s="332"/>
      <c r="B79" s="340"/>
      <c r="C79" s="340"/>
      <c r="D79" s="71" t="s">
        <v>67</v>
      </c>
      <c r="E79" s="340"/>
      <c r="F79" s="340"/>
    </row>
    <row r="80" spans="1:6" ht="16.5" customHeight="1">
      <c r="A80" s="332"/>
      <c r="B80" s="340"/>
      <c r="C80" s="340"/>
      <c r="D80" s="71" t="s">
        <v>68</v>
      </c>
      <c r="E80" s="340"/>
      <c r="F80" s="340"/>
    </row>
    <row r="81" spans="1:8" ht="16.5" customHeight="1">
      <c r="A81" s="332"/>
      <c r="B81" s="340"/>
      <c r="C81" s="340"/>
      <c r="D81" s="71" t="s">
        <v>69</v>
      </c>
      <c r="E81" s="340"/>
      <c r="F81" s="340"/>
    </row>
    <row r="82" spans="1:8" ht="16.5" customHeight="1">
      <c r="A82" s="332"/>
      <c r="B82" s="340"/>
      <c r="C82" s="340"/>
      <c r="D82" s="71" t="s">
        <v>70</v>
      </c>
      <c r="E82" s="340"/>
      <c r="F82" s="340"/>
    </row>
    <row r="83" spans="1:8" ht="16.5" customHeight="1">
      <c r="A83" s="332"/>
      <c r="B83" s="340"/>
      <c r="C83" s="340"/>
      <c r="D83" s="71" t="s">
        <v>71</v>
      </c>
      <c r="E83" s="340"/>
      <c r="F83" s="340"/>
      <c r="H83" s="71"/>
    </row>
    <row r="84" spans="1:8" ht="25.5">
      <c r="A84" s="332"/>
      <c r="B84" s="340">
        <f>6510773</f>
        <v>6510773</v>
      </c>
      <c r="C84" s="340">
        <f>704138-255581</f>
        <v>448557</v>
      </c>
      <c r="D84" s="71" t="s">
        <v>72</v>
      </c>
      <c r="E84" s="340"/>
      <c r="F84" s="340"/>
    </row>
    <row r="85" spans="1:8">
      <c r="A85" s="332"/>
      <c r="B85" s="340"/>
      <c r="C85" s="340"/>
      <c r="D85" s="71" t="s">
        <v>73</v>
      </c>
      <c r="E85" s="340"/>
      <c r="F85" s="340"/>
    </row>
    <row r="86" spans="1:8">
      <c r="A86" s="333"/>
      <c r="B86" s="340"/>
      <c r="C86" s="340"/>
      <c r="D86" s="71" t="s">
        <v>71</v>
      </c>
      <c r="E86" s="340"/>
      <c r="F86" s="340"/>
    </row>
    <row r="87" spans="1:8" ht="105.75" customHeight="1">
      <c r="A87" s="26" t="s">
        <v>75</v>
      </c>
      <c r="B87" s="24">
        <f>5975802/77639885</f>
        <v>7.6968197467062197E-2</v>
      </c>
      <c r="C87" s="24">
        <f>5116460/62516693</f>
        <v>8.184150111714962E-2</v>
      </c>
      <c r="D87" s="71" t="s">
        <v>76</v>
      </c>
      <c r="E87" s="111" t="s">
        <v>199</v>
      </c>
      <c r="F87" s="111" t="s">
        <v>77</v>
      </c>
    </row>
    <row r="88" spans="1:8" ht="102">
      <c r="A88" s="26" t="s">
        <v>78</v>
      </c>
      <c r="B88" s="71">
        <f>441694</f>
        <v>441694</v>
      </c>
      <c r="C88" s="28">
        <f>337904/5610415</f>
        <v>6.0227986699736114E-2</v>
      </c>
      <c r="D88" s="71" t="s">
        <v>79</v>
      </c>
      <c r="E88" s="71" t="s">
        <v>211</v>
      </c>
      <c r="F88" s="71" t="s">
        <v>80</v>
      </c>
    </row>
    <row r="89" spans="1:8" ht="114.75" customHeight="1">
      <c r="A89" s="26" t="s">
        <v>81</v>
      </c>
      <c r="B89" s="71">
        <f>441694/639863</f>
        <v>0.6902946411966312</v>
      </c>
      <c r="C89" s="28">
        <f>337904/639863</f>
        <v>0.52808804384688601</v>
      </c>
      <c r="D89" s="71" t="s">
        <v>82</v>
      </c>
      <c r="E89" s="71" t="s">
        <v>200</v>
      </c>
      <c r="F89" s="71" t="s">
        <v>83</v>
      </c>
    </row>
    <row r="90" spans="1:8" ht="121.5" customHeight="1">
      <c r="A90" s="26" t="s">
        <v>84</v>
      </c>
      <c r="B90" s="71"/>
      <c r="C90" s="28">
        <f>250-250+38.8/250</f>
        <v>0.15519999999999998</v>
      </c>
      <c r="D90" s="71" t="s">
        <v>85</v>
      </c>
      <c r="E90" s="71" t="s">
        <v>200</v>
      </c>
      <c r="F90" s="71" t="s">
        <v>86</v>
      </c>
    </row>
    <row r="91" spans="1:8" ht="24" customHeight="1">
      <c r="A91" s="334" t="s">
        <v>26</v>
      </c>
      <c r="B91" s="71"/>
      <c r="C91" s="24">
        <f>517502/23099082</f>
        <v>2.2403574306546034E-2</v>
      </c>
      <c r="D91" s="56" t="s">
        <v>87</v>
      </c>
      <c r="E91" s="340" t="s">
        <v>201</v>
      </c>
      <c r="F91" s="340" t="s">
        <v>93</v>
      </c>
      <c r="G91" s="350" t="s">
        <v>212</v>
      </c>
    </row>
    <row r="92" spans="1:8" ht="39">
      <c r="A92" s="334"/>
      <c r="B92" s="71"/>
      <c r="C92" s="71">
        <f>517502</f>
        <v>517502</v>
      </c>
      <c r="D92" s="56" t="s">
        <v>88</v>
      </c>
      <c r="E92" s="340"/>
      <c r="F92" s="340"/>
      <c r="G92" s="350"/>
    </row>
    <row r="93" spans="1:8" ht="26.25">
      <c r="A93" s="334"/>
      <c r="B93" s="71"/>
      <c r="C93" s="25"/>
      <c r="D93" s="56" t="s">
        <v>89</v>
      </c>
      <c r="E93" s="340"/>
      <c r="F93" s="340"/>
      <c r="G93" s="350"/>
    </row>
    <row r="94" spans="1:8">
      <c r="A94" s="334"/>
      <c r="B94" s="71"/>
      <c r="C94" s="25">
        <f>(19955556+26242607)/2</f>
        <v>23099081.5</v>
      </c>
      <c r="D94" s="56" t="s">
        <v>90</v>
      </c>
      <c r="E94" s="340"/>
      <c r="F94" s="340"/>
      <c r="G94" s="350"/>
    </row>
    <row r="95" spans="1:8" ht="34.5" customHeight="1">
      <c r="A95" s="334"/>
      <c r="B95" s="71"/>
      <c r="C95" s="71">
        <f>67335177-32314063-4027553-11038005</f>
        <v>19955556</v>
      </c>
      <c r="D95" s="56" t="s">
        <v>91</v>
      </c>
      <c r="E95" s="340"/>
      <c r="F95" s="340"/>
      <c r="G95" s="350"/>
    </row>
    <row r="96" spans="1:8" ht="38.25" customHeight="1">
      <c r="A96" s="334"/>
      <c r="B96" s="71"/>
      <c r="C96" s="71">
        <f>82046517-49629686-1582605-4591619</f>
        <v>26242607</v>
      </c>
      <c r="D96" s="56" t="s">
        <v>92</v>
      </c>
      <c r="E96" s="340"/>
      <c r="F96" s="340"/>
      <c r="G96" s="350"/>
    </row>
    <row r="97" spans="1:7" ht="30" customHeight="1">
      <c r="A97" s="334" t="s">
        <v>28</v>
      </c>
      <c r="B97" s="71"/>
      <c r="C97" s="28">
        <f>9869808/18445969</f>
        <v>0.5350658455514048</v>
      </c>
      <c r="D97" s="56" t="s">
        <v>94</v>
      </c>
      <c r="E97" s="340" t="s">
        <v>202</v>
      </c>
      <c r="F97" s="340" t="s">
        <v>97</v>
      </c>
      <c r="G97" s="350" t="s">
        <v>213</v>
      </c>
    </row>
    <row r="98" spans="1:7" ht="26.25">
      <c r="A98" s="334"/>
      <c r="B98" s="71"/>
      <c r="C98" s="71">
        <f>9869808</f>
        <v>9869808</v>
      </c>
      <c r="D98" s="56" t="s">
        <v>95</v>
      </c>
      <c r="E98" s="340"/>
      <c r="F98" s="340"/>
      <c r="G98" s="350"/>
    </row>
    <row r="99" spans="1:7" ht="26.25">
      <c r="A99" s="334"/>
      <c r="B99" s="71"/>
      <c r="C99" s="71">
        <f>76436102-33758250-15597883-8634000</f>
        <v>18445969</v>
      </c>
      <c r="D99" s="56" t="s">
        <v>96</v>
      </c>
      <c r="E99" s="340"/>
      <c r="F99" s="340"/>
      <c r="G99" s="350"/>
    </row>
    <row r="100" spans="1:7" ht="36.75" customHeight="1">
      <c r="A100" s="334" t="s">
        <v>30</v>
      </c>
      <c r="B100" s="71"/>
      <c r="C100" s="29">
        <f>5610415/(C102-C103)</f>
        <v>0.73381424912158078</v>
      </c>
      <c r="D100" s="56" t="s">
        <v>98</v>
      </c>
      <c r="E100" s="340" t="s">
        <v>203</v>
      </c>
      <c r="F100" s="340" t="s">
        <v>102</v>
      </c>
      <c r="G100" s="350" t="s">
        <v>218</v>
      </c>
    </row>
    <row r="101" spans="1:7" ht="63" customHeight="1">
      <c r="A101" s="334"/>
      <c r="B101" s="71"/>
      <c r="C101" s="71">
        <f>5610415</f>
        <v>5610415</v>
      </c>
      <c r="D101" s="56" t="s">
        <v>99</v>
      </c>
      <c r="E101" s="340"/>
      <c r="F101" s="340"/>
      <c r="G101" s="350"/>
    </row>
    <row r="102" spans="1:7">
      <c r="A102" s="334"/>
      <c r="B102" s="71"/>
      <c r="C102" s="71">
        <f>76436102-33758250-15597883-10800417</f>
        <v>16279552</v>
      </c>
      <c r="D102" s="56" t="s">
        <v>100</v>
      </c>
      <c r="E102" s="340"/>
      <c r="F102" s="340"/>
      <c r="G102" s="350"/>
    </row>
    <row r="103" spans="1:7" ht="39" customHeight="1">
      <c r="A103" s="334"/>
      <c r="B103" s="71"/>
      <c r="C103" s="71">
        <v>8634000</v>
      </c>
      <c r="D103" s="56" t="s">
        <v>101</v>
      </c>
      <c r="E103" s="340"/>
      <c r="F103" s="340"/>
      <c r="G103" s="350"/>
    </row>
    <row r="104" spans="1:7" ht="25.5" customHeight="1">
      <c r="A104" s="334" t="s">
        <v>32</v>
      </c>
      <c r="B104" s="71"/>
      <c r="C104" s="29">
        <f>90/(62516693/7231523)</f>
        <v>10.410612570309821</v>
      </c>
      <c r="D104" s="56" t="s">
        <v>103</v>
      </c>
      <c r="E104" s="340" t="s">
        <v>204</v>
      </c>
      <c r="F104" s="340" t="s">
        <v>107</v>
      </c>
      <c r="G104" s="350" t="s">
        <v>213</v>
      </c>
    </row>
    <row r="105" spans="1:7" ht="68.25" customHeight="1">
      <c r="A105" s="334"/>
      <c r="B105" s="71"/>
      <c r="C105" s="71">
        <v>62516693</v>
      </c>
      <c r="D105" s="56" t="s">
        <v>104</v>
      </c>
      <c r="E105" s="340"/>
      <c r="F105" s="340"/>
      <c r="G105" s="350"/>
    </row>
    <row r="106" spans="1:7" ht="30.75" customHeight="1">
      <c r="A106" s="334"/>
      <c r="B106" s="71"/>
      <c r="C106" s="71">
        <v>90</v>
      </c>
      <c r="D106" s="56" t="s">
        <v>105</v>
      </c>
      <c r="E106" s="340"/>
      <c r="F106" s="340"/>
      <c r="G106" s="350"/>
    </row>
    <row r="107" spans="1:7" ht="99.75" customHeight="1">
      <c r="A107" s="334"/>
      <c r="B107" s="71"/>
      <c r="C107" s="71">
        <f>47953656-33758250-15597883--8634000</f>
        <v>7231523</v>
      </c>
      <c r="D107" s="56" t="s">
        <v>106</v>
      </c>
      <c r="E107" s="340"/>
      <c r="F107" s="340"/>
      <c r="G107" s="350"/>
    </row>
    <row r="108" spans="1:7" ht="15" customHeight="1">
      <c r="A108" s="334" t="s">
        <v>34</v>
      </c>
      <c r="B108" s="71"/>
      <c r="C108" s="29">
        <f>90/(62516693/1015793)</f>
        <v>1.462351343504366</v>
      </c>
      <c r="D108" s="56" t="s">
        <v>108</v>
      </c>
      <c r="E108" s="340" t="s">
        <v>205</v>
      </c>
      <c r="F108" s="340" t="s">
        <v>112</v>
      </c>
      <c r="G108" s="350" t="s">
        <v>214</v>
      </c>
    </row>
    <row r="109" spans="1:7" ht="51.75">
      <c r="A109" s="334"/>
      <c r="B109" s="71"/>
      <c r="C109" s="71">
        <v>62516693</v>
      </c>
      <c r="D109" s="56" t="s">
        <v>109</v>
      </c>
      <c r="E109" s="340"/>
      <c r="F109" s="340"/>
      <c r="G109" s="350"/>
    </row>
    <row r="110" spans="1:7">
      <c r="A110" s="334"/>
      <c r="B110" s="71"/>
      <c r="C110" s="71">
        <v>90</v>
      </c>
      <c r="D110" s="56" t="s">
        <v>110</v>
      </c>
      <c r="E110" s="340"/>
      <c r="F110" s="340"/>
      <c r="G110" s="350"/>
    </row>
    <row r="111" spans="1:7" ht="51.75">
      <c r="A111" s="334"/>
      <c r="B111" s="71"/>
      <c r="C111" s="71">
        <f>7190014-1582602-4591619</f>
        <v>1015793</v>
      </c>
      <c r="D111" s="56" t="s">
        <v>111</v>
      </c>
      <c r="E111" s="340"/>
      <c r="F111" s="340"/>
      <c r="G111" s="350"/>
    </row>
    <row r="112" spans="1:7" ht="39" customHeight="1">
      <c r="A112" s="334" t="s">
        <v>36</v>
      </c>
      <c r="B112" s="71"/>
      <c r="C112" s="28">
        <f>68440935/(60838216-8634000)</f>
        <v>1.3110231365221536</v>
      </c>
      <c r="D112" s="56" t="s">
        <v>113</v>
      </c>
      <c r="E112" s="340" t="s">
        <v>206</v>
      </c>
      <c r="F112" s="340" t="s">
        <v>115</v>
      </c>
      <c r="G112" s="350" t="s">
        <v>215</v>
      </c>
    </row>
    <row r="113" spans="1:7" ht="39">
      <c r="A113" s="334"/>
      <c r="B113" s="71"/>
      <c r="C113" s="71">
        <f>68440935</f>
        <v>68440935</v>
      </c>
      <c r="D113" s="56" t="s">
        <v>114</v>
      </c>
      <c r="E113" s="340"/>
      <c r="F113" s="340"/>
      <c r="G113" s="350"/>
    </row>
    <row r="114" spans="1:7">
      <c r="A114" s="334"/>
      <c r="B114" s="71"/>
      <c r="C114" s="71">
        <f>76436102-15597886</f>
        <v>60838216</v>
      </c>
      <c r="D114" s="56" t="s">
        <v>100</v>
      </c>
      <c r="E114" s="340"/>
      <c r="F114" s="340"/>
      <c r="G114" s="350"/>
    </row>
    <row r="115" spans="1:7" ht="57.75" customHeight="1">
      <c r="A115" s="334"/>
      <c r="B115" s="71"/>
      <c r="C115" s="71">
        <v>8634000</v>
      </c>
      <c r="D115" s="56" t="s">
        <v>101</v>
      </c>
      <c r="E115" s="340"/>
      <c r="F115" s="340"/>
      <c r="G115" s="350"/>
    </row>
    <row r="116" spans="1:7" ht="21" customHeight="1">
      <c r="A116" s="334" t="s">
        <v>116</v>
      </c>
      <c r="B116" s="71"/>
      <c r="C116" s="28">
        <f>C117/C119</f>
        <v>0.29374874307536303</v>
      </c>
      <c r="D116" s="56" t="s">
        <v>117</v>
      </c>
      <c r="E116" s="340" t="s">
        <v>207</v>
      </c>
      <c r="F116" s="340" t="s">
        <v>208</v>
      </c>
    </row>
    <row r="117" spans="1:7" ht="35.25" customHeight="1">
      <c r="A117" s="334"/>
      <c r="B117" s="71"/>
      <c r="C117" s="71">
        <v>38.799999999999997</v>
      </c>
      <c r="D117" s="56" t="s">
        <v>118</v>
      </c>
      <c r="E117" s="340"/>
      <c r="F117" s="340"/>
    </row>
    <row r="118" spans="1:7" ht="20.25" customHeight="1">
      <c r="A118" s="334"/>
      <c r="B118" s="71"/>
      <c r="C118" s="71"/>
      <c r="D118" s="56" t="s">
        <v>119</v>
      </c>
      <c r="E118" s="340"/>
      <c r="F118" s="340"/>
    </row>
    <row r="119" spans="1:7" ht="20.25" customHeight="1">
      <c r="A119" s="334"/>
      <c r="B119" s="71"/>
      <c r="C119" s="29">
        <f>(C120-C121)/C122</f>
        <v>132.08567156335243</v>
      </c>
      <c r="D119" s="56" t="s">
        <v>120</v>
      </c>
      <c r="E119" s="340"/>
      <c r="F119" s="340"/>
    </row>
    <row r="120" spans="1:7" ht="44.25" customHeight="1">
      <c r="A120" s="334"/>
      <c r="B120" s="71"/>
      <c r="C120" s="71">
        <v>337904000</v>
      </c>
      <c r="D120" s="71" t="s">
        <v>216</v>
      </c>
      <c r="E120" s="340"/>
      <c r="F120" s="340"/>
    </row>
    <row r="121" spans="1:7" ht="33" customHeight="1">
      <c r="A121" s="334"/>
      <c r="B121" s="71"/>
      <c r="C121" s="25">
        <v>111273.60000000001</v>
      </c>
      <c r="D121" s="56" t="s">
        <v>121</v>
      </c>
      <c r="E121" s="340"/>
      <c r="F121" s="340"/>
    </row>
    <row r="122" spans="1:7" ht="37.5" customHeight="1">
      <c r="A122" s="334"/>
      <c r="B122" s="71"/>
      <c r="C122" s="71">
        <v>2557376</v>
      </c>
      <c r="D122" s="56" t="s">
        <v>122</v>
      </c>
      <c r="E122" s="340"/>
      <c r="F122" s="340"/>
    </row>
    <row r="123" spans="1:7" ht="96.75" customHeight="1">
      <c r="A123" s="26" t="s">
        <v>40</v>
      </c>
      <c r="B123" s="71"/>
      <c r="C123" s="71"/>
      <c r="D123" s="71" t="s">
        <v>123</v>
      </c>
      <c r="E123" s="71" t="s">
        <v>124</v>
      </c>
      <c r="F123" s="71" t="s">
        <v>125</v>
      </c>
    </row>
    <row r="124" spans="1:7" ht="15.75">
      <c r="A124" s="4" t="s">
        <v>0</v>
      </c>
      <c r="B124" s="114"/>
      <c r="C124" s="114"/>
      <c r="D124" s="55"/>
      <c r="E124" s="55"/>
      <c r="F124" s="55"/>
    </row>
    <row r="125" spans="1:7" ht="15.75">
      <c r="A125" s="4"/>
      <c r="B125" s="114"/>
      <c r="C125" s="114"/>
      <c r="D125" s="55"/>
      <c r="E125" s="55"/>
      <c r="F125" s="55"/>
    </row>
    <row r="126" spans="1:7" ht="15.75">
      <c r="A126" s="349" t="s">
        <v>217</v>
      </c>
      <c r="B126" s="349"/>
      <c r="C126" s="349"/>
      <c r="D126" s="349"/>
      <c r="E126" s="349"/>
      <c r="F126" s="349"/>
    </row>
    <row r="127" spans="1:7" ht="15.75">
      <c r="A127" s="4"/>
      <c r="B127" s="114"/>
      <c r="C127" s="114"/>
      <c r="D127" s="55"/>
      <c r="E127" s="55"/>
      <c r="F127" s="55"/>
    </row>
    <row r="131" spans="1:12">
      <c r="A131" s="356" t="s">
        <v>57</v>
      </c>
      <c r="B131" s="356"/>
      <c r="C131" s="356"/>
      <c r="D131" s="356"/>
      <c r="E131" s="356"/>
      <c r="F131" s="356"/>
    </row>
    <row r="132" spans="1:12">
      <c r="A132" s="356" t="s">
        <v>4</v>
      </c>
      <c r="B132" s="356"/>
      <c r="C132" s="356"/>
      <c r="D132" s="356"/>
      <c r="E132" s="356"/>
      <c r="F132" s="356"/>
    </row>
    <row r="133" spans="1:12" ht="18.75">
      <c r="A133" s="357" t="s">
        <v>58</v>
      </c>
      <c r="B133" s="357"/>
      <c r="C133" s="357"/>
      <c r="D133" s="357"/>
      <c r="E133" s="357"/>
      <c r="F133" s="357"/>
    </row>
    <row r="134" spans="1:12" ht="18.75">
      <c r="A134" s="357" t="s">
        <v>240</v>
      </c>
      <c r="B134" s="357"/>
      <c r="C134" s="357"/>
      <c r="D134" s="357"/>
      <c r="E134" s="357"/>
      <c r="F134" s="357"/>
    </row>
    <row r="135" spans="1:12" ht="16.5" thickBot="1">
      <c r="A135" s="43" t="s">
        <v>2</v>
      </c>
      <c r="B135" s="104"/>
      <c r="C135" s="104"/>
      <c r="H135" s="365" t="s">
        <v>241</v>
      </c>
      <c r="I135" s="365"/>
      <c r="J135" s="365"/>
      <c r="K135" s="365"/>
      <c r="L135" s="31" t="s">
        <v>242</v>
      </c>
    </row>
    <row r="136" spans="1:12" ht="34.5" customHeight="1" thickBot="1">
      <c r="A136" s="44" t="s">
        <v>7</v>
      </c>
      <c r="B136" s="105" t="s">
        <v>228</v>
      </c>
      <c r="C136" s="105" t="s">
        <v>210</v>
      </c>
      <c r="D136" s="106" t="s">
        <v>59</v>
      </c>
      <c r="E136" s="107" t="s">
        <v>188</v>
      </c>
      <c r="F136" s="108" t="s">
        <v>60</v>
      </c>
      <c r="H136" s="31" t="s">
        <v>222</v>
      </c>
      <c r="I136" s="31" t="s">
        <v>223</v>
      </c>
      <c r="J136" s="31" t="s">
        <v>224</v>
      </c>
      <c r="K136" s="31" t="s">
        <v>225</v>
      </c>
      <c r="L136" s="31" t="s">
        <v>243</v>
      </c>
    </row>
    <row r="137" spans="1:12" ht="27" customHeight="1" thickBot="1">
      <c r="A137" s="358" t="s">
        <v>61</v>
      </c>
      <c r="B137" s="359"/>
      <c r="C137" s="359"/>
      <c r="D137" s="360"/>
      <c r="E137" s="360"/>
      <c r="F137" s="361"/>
      <c r="H137" s="31"/>
      <c r="I137" s="31"/>
      <c r="J137" s="31"/>
      <c r="K137" s="109"/>
      <c r="L137" s="31"/>
    </row>
    <row r="138" spans="1:12" ht="31.5" customHeight="1">
      <c r="A138" s="332" t="s">
        <v>197</v>
      </c>
      <c r="B138" s="25">
        <f>517502+507626+B148</f>
        <v>2469678</v>
      </c>
      <c r="C138" s="25">
        <f>517502+507626+C148</f>
        <v>2469678</v>
      </c>
      <c r="D138" s="110" t="s">
        <v>226</v>
      </c>
      <c r="E138" s="351" t="s">
        <v>198</v>
      </c>
      <c r="F138" s="351" t="s">
        <v>74</v>
      </c>
      <c r="H138" s="25">
        <f>184629+125992+H148</f>
        <v>590036</v>
      </c>
      <c r="I138" s="25">
        <f>347304+418386+I148</f>
        <v>1727390</v>
      </c>
      <c r="J138" s="25">
        <f>517502+507626+J148</f>
        <v>2469678</v>
      </c>
      <c r="K138" s="25">
        <f>517502+507626+K148</f>
        <v>2951194.666666667</v>
      </c>
      <c r="L138" s="31">
        <f>2041703+628218+L148</f>
        <v>5872265</v>
      </c>
    </row>
    <row r="139" spans="1:12" ht="16.5" customHeight="1">
      <c r="A139" s="332"/>
      <c r="B139" s="71"/>
      <c r="C139" s="71"/>
      <c r="D139" s="71" t="s">
        <v>63</v>
      </c>
      <c r="E139" s="340"/>
      <c r="F139" s="340"/>
      <c r="H139" s="71"/>
      <c r="I139" s="71"/>
      <c r="J139" s="71"/>
      <c r="K139" s="71"/>
      <c r="L139" s="31"/>
    </row>
    <row r="140" spans="1:12" ht="16.5" customHeight="1">
      <c r="A140" s="332"/>
      <c r="B140" s="340">
        <f>337904+150463+507626</f>
        <v>995993</v>
      </c>
      <c r="C140" s="340">
        <f>337904+150463+507626</f>
        <v>995993</v>
      </c>
      <c r="D140" s="71" t="s">
        <v>64</v>
      </c>
      <c r="E140" s="340"/>
      <c r="F140" s="340"/>
      <c r="H140" s="340">
        <f>112665+62167+125992</f>
        <v>300824</v>
      </c>
      <c r="I140" s="340">
        <f>225145+102829+418386</f>
        <v>746360</v>
      </c>
      <c r="J140" s="340">
        <f>337904+150463+507626</f>
        <v>995993</v>
      </c>
      <c r="K140" s="345">
        <f>J140/3*4</f>
        <v>1327990.6666666667</v>
      </c>
      <c r="L140" s="362">
        <f>1586715+317260+628218</f>
        <v>2532193</v>
      </c>
    </row>
    <row r="141" spans="1:12" ht="16.5" customHeight="1">
      <c r="A141" s="332"/>
      <c r="B141" s="340"/>
      <c r="C141" s="340"/>
      <c r="D141" s="71" t="s">
        <v>65</v>
      </c>
      <c r="E141" s="340"/>
      <c r="F141" s="340"/>
      <c r="H141" s="340"/>
      <c r="I141" s="340"/>
      <c r="J141" s="340"/>
      <c r="K141" s="345"/>
      <c r="L141" s="363"/>
    </row>
    <row r="142" spans="1:12" ht="16.5" customHeight="1">
      <c r="A142" s="332"/>
      <c r="B142" s="340"/>
      <c r="C142" s="340"/>
      <c r="D142" s="71" t="s">
        <v>66</v>
      </c>
      <c r="E142" s="340"/>
      <c r="F142" s="340"/>
      <c r="H142" s="340"/>
      <c r="I142" s="340"/>
      <c r="J142" s="340"/>
      <c r="K142" s="345"/>
      <c r="L142" s="363"/>
    </row>
    <row r="143" spans="1:12" ht="16.5" customHeight="1">
      <c r="A143" s="332"/>
      <c r="B143" s="340"/>
      <c r="C143" s="340"/>
      <c r="D143" s="71" t="s">
        <v>67</v>
      </c>
      <c r="E143" s="340"/>
      <c r="F143" s="340"/>
      <c r="H143" s="340"/>
      <c r="I143" s="340"/>
      <c r="J143" s="340"/>
      <c r="K143" s="345"/>
      <c r="L143" s="363"/>
    </row>
    <row r="144" spans="1:12" ht="16.5" customHeight="1">
      <c r="A144" s="332"/>
      <c r="B144" s="340"/>
      <c r="C144" s="340"/>
      <c r="D144" s="71" t="s">
        <v>68</v>
      </c>
      <c r="E144" s="340"/>
      <c r="F144" s="340"/>
      <c r="H144" s="340"/>
      <c r="I144" s="340"/>
      <c r="J144" s="340"/>
      <c r="K144" s="345"/>
      <c r="L144" s="363"/>
    </row>
    <row r="145" spans="1:12" ht="16.5" customHeight="1">
      <c r="A145" s="332"/>
      <c r="B145" s="340"/>
      <c r="C145" s="340"/>
      <c r="D145" s="71" t="s">
        <v>69</v>
      </c>
      <c r="E145" s="340"/>
      <c r="F145" s="340"/>
      <c r="H145" s="340"/>
      <c r="I145" s="340"/>
      <c r="J145" s="340"/>
      <c r="K145" s="345"/>
      <c r="L145" s="363"/>
    </row>
    <row r="146" spans="1:12" ht="16.5" customHeight="1">
      <c r="A146" s="332"/>
      <c r="B146" s="340"/>
      <c r="C146" s="340"/>
      <c r="D146" s="71" t="s">
        <v>70</v>
      </c>
      <c r="E146" s="340"/>
      <c r="F146" s="340"/>
      <c r="H146" s="340"/>
      <c r="I146" s="340"/>
      <c r="J146" s="340"/>
      <c r="K146" s="345"/>
      <c r="L146" s="363"/>
    </row>
    <row r="147" spans="1:12" ht="16.5" customHeight="1">
      <c r="A147" s="332"/>
      <c r="B147" s="340"/>
      <c r="C147" s="340"/>
      <c r="D147" s="71" t="s">
        <v>71</v>
      </c>
      <c r="E147" s="340"/>
      <c r="F147" s="340"/>
      <c r="H147" s="340"/>
      <c r="I147" s="340"/>
      <c r="J147" s="340"/>
      <c r="K147" s="345"/>
      <c r="L147" s="364"/>
    </row>
    <row r="148" spans="1:12" ht="25.5">
      <c r="A148" s="332"/>
      <c r="B148" s="340">
        <f>B140+704138-255581</f>
        <v>1444550</v>
      </c>
      <c r="C148" s="340">
        <f>C140+704138-255581</f>
        <v>1444550</v>
      </c>
      <c r="D148" s="71" t="s">
        <v>72</v>
      </c>
      <c r="E148" s="340"/>
      <c r="F148" s="340"/>
      <c r="H148" s="340">
        <f>H140+234172-255581</f>
        <v>279415</v>
      </c>
      <c r="I148" s="340">
        <f>I140+470921-255581</f>
        <v>961700</v>
      </c>
      <c r="J148" s="340">
        <f>J140+704138-255581</f>
        <v>1444550</v>
      </c>
      <c r="K148" s="345">
        <f>J148/3*4</f>
        <v>1926066.6666666667</v>
      </c>
      <c r="L148" s="362">
        <f>L140+925732-255581</f>
        <v>3202344</v>
      </c>
    </row>
    <row r="149" spans="1:12">
      <c r="A149" s="332"/>
      <c r="B149" s="340"/>
      <c r="C149" s="340"/>
      <c r="D149" s="71" t="s">
        <v>73</v>
      </c>
      <c r="E149" s="340"/>
      <c r="F149" s="340"/>
      <c r="H149" s="340"/>
      <c r="I149" s="340"/>
      <c r="J149" s="340"/>
      <c r="K149" s="345"/>
      <c r="L149" s="363"/>
    </row>
    <row r="150" spans="1:12">
      <c r="A150" s="332"/>
      <c r="B150" s="340"/>
      <c r="C150" s="340"/>
      <c r="D150" s="30" t="s">
        <v>229</v>
      </c>
      <c r="E150" s="340"/>
      <c r="F150" s="340"/>
      <c r="H150" s="340"/>
      <c r="I150" s="340"/>
      <c r="J150" s="340"/>
      <c r="K150" s="345"/>
      <c r="L150" s="364"/>
    </row>
    <row r="151" spans="1:12" ht="105.75" customHeight="1">
      <c r="A151" s="40" t="s">
        <v>75</v>
      </c>
      <c r="B151" s="24">
        <f>5116460/62516693</f>
        <v>8.184150111714962E-2</v>
      </c>
      <c r="C151" s="24">
        <f>5116460/62516693</f>
        <v>8.184150111714962E-2</v>
      </c>
      <c r="D151" s="71" t="s">
        <v>76</v>
      </c>
      <c r="E151" s="111" t="s">
        <v>199</v>
      </c>
      <c r="F151" s="111" t="s">
        <v>77</v>
      </c>
      <c r="H151" s="24">
        <f>1712866/17693919</f>
        <v>9.6805348775474781E-2</v>
      </c>
      <c r="I151" s="24">
        <f>3205899/38811034</f>
        <v>8.2602772191021759E-2</v>
      </c>
      <c r="J151" s="24">
        <f>5116460/62516693</f>
        <v>8.184150111714962E-2</v>
      </c>
      <c r="K151" s="24">
        <f>J151</f>
        <v>8.184150111714962E-2</v>
      </c>
      <c r="L151" s="60">
        <f>7655452/91068655</f>
        <v>8.4062425210957595E-2</v>
      </c>
    </row>
    <row r="152" spans="1:12" ht="102">
      <c r="A152" s="40" t="s">
        <v>78</v>
      </c>
      <c r="B152" s="28">
        <f>337904/5610415</f>
        <v>6.0227986699736114E-2</v>
      </c>
      <c r="C152" s="28">
        <f>337904/((5379433+5610415)/2)</f>
        <v>6.1493844136879784E-2</v>
      </c>
      <c r="D152" s="71" t="s">
        <v>79</v>
      </c>
      <c r="E152" s="71" t="s">
        <v>211</v>
      </c>
      <c r="F152" s="71" t="s">
        <v>80</v>
      </c>
      <c r="H152" s="28">
        <f>112665/((5379433+5389496)/2)</f>
        <v>2.0924086322790317E-2</v>
      </c>
      <c r="I152" s="28">
        <f>225145/5499458</f>
        <v>4.0939488946001586E-2</v>
      </c>
      <c r="J152" s="28">
        <f>337904/((5379433+5610415)/2)</f>
        <v>6.1493844136879784E-2</v>
      </c>
      <c r="K152" s="28">
        <f>J152/3*4</f>
        <v>8.1991792182506379E-2</v>
      </c>
      <c r="L152" s="62">
        <f>1586715/6110367</f>
        <v>0.25967589180813527</v>
      </c>
    </row>
    <row r="153" spans="1:12" ht="114.75" customHeight="1">
      <c r="A153" s="40" t="s">
        <v>81</v>
      </c>
      <c r="B153" s="28">
        <f>337904/639863</f>
        <v>0.52808804384688601</v>
      </c>
      <c r="C153" s="28">
        <f>337904/639863</f>
        <v>0.52808804384688601</v>
      </c>
      <c r="D153" s="71" t="s">
        <v>82</v>
      </c>
      <c r="E153" s="71" t="s">
        <v>200</v>
      </c>
      <c r="F153" s="71" t="s">
        <v>83</v>
      </c>
      <c r="H153" s="28">
        <f>112665/639863</f>
        <v>0.17607675393013816</v>
      </c>
      <c r="I153" s="28">
        <f>225145/639863</f>
        <v>0.35186438346958648</v>
      </c>
      <c r="J153" s="28">
        <f>337904/639863</f>
        <v>0.52808804384688601</v>
      </c>
      <c r="K153" s="28">
        <f>450000/639863</f>
        <v>0.70327554492133471</v>
      </c>
      <c r="L153" s="62">
        <f>1586715/639863</f>
        <v>2.4797730139107901</v>
      </c>
    </row>
    <row r="154" spans="1:12" ht="121.5" customHeight="1">
      <c r="A154" s="40" t="s">
        <v>84</v>
      </c>
      <c r="B154" s="28">
        <f>250-250+38.8/250</f>
        <v>0.15519999999999998</v>
      </c>
      <c r="C154" s="28">
        <f>250-250+38.8/250</f>
        <v>0.15519999999999998</v>
      </c>
      <c r="D154" s="71" t="s">
        <v>85</v>
      </c>
      <c r="E154" s="71" t="s">
        <v>200</v>
      </c>
      <c r="F154" s="71" t="s">
        <v>86</v>
      </c>
      <c r="H154" s="28">
        <v>0</v>
      </c>
      <c r="I154" s="28">
        <v>0</v>
      </c>
      <c r="J154" s="28">
        <f>250-250+38.8/250</f>
        <v>0.15519999999999998</v>
      </c>
      <c r="K154" s="28">
        <f>250-250+38.8/250</f>
        <v>0.15519999999999998</v>
      </c>
      <c r="L154" s="62">
        <f>(250-250+310.22)/250</f>
        <v>1.2408800000000002</v>
      </c>
    </row>
    <row r="155" spans="1:12" ht="24" customHeight="1">
      <c r="A155" s="334" t="s">
        <v>26</v>
      </c>
      <c r="B155" s="24">
        <f>B156/B158</f>
        <v>2.2403574791491167E-2</v>
      </c>
      <c r="C155" s="24">
        <f>C156/C158</f>
        <v>6.9285865776833409E-3</v>
      </c>
      <c r="D155" s="56" t="s">
        <v>87</v>
      </c>
      <c r="E155" s="340" t="s">
        <v>201</v>
      </c>
      <c r="F155" s="340" t="s">
        <v>93</v>
      </c>
      <c r="G155" s="350" t="s">
        <v>212</v>
      </c>
      <c r="H155" s="24">
        <f>H156/H158</f>
        <v>2.9503369455488181E-3</v>
      </c>
      <c r="I155" s="24">
        <f>I156/I158</f>
        <v>5.0033097384304696E-3</v>
      </c>
      <c r="J155" s="24">
        <f>J156/J158</f>
        <v>6.9285865776833409E-3</v>
      </c>
      <c r="K155" s="24">
        <f>K156/K158</f>
        <v>9.23811543691112E-3</v>
      </c>
      <c r="L155" s="60">
        <f>L156/L158</f>
        <v>3.0041568084562983E-2</v>
      </c>
    </row>
    <row r="156" spans="1:12" ht="39">
      <c r="A156" s="334"/>
      <c r="B156" s="71">
        <f>517502</f>
        <v>517502</v>
      </c>
      <c r="C156" s="71">
        <f>517502</f>
        <v>517502</v>
      </c>
      <c r="D156" s="56" t="s">
        <v>88</v>
      </c>
      <c r="E156" s="340"/>
      <c r="F156" s="340"/>
      <c r="G156" s="350"/>
      <c r="H156" s="71">
        <v>184629</v>
      </c>
      <c r="I156" s="71">
        <v>347304</v>
      </c>
      <c r="J156" s="71">
        <f>517502</f>
        <v>517502</v>
      </c>
      <c r="K156" s="25">
        <f>J156/3*4</f>
        <v>690002.66666666663</v>
      </c>
      <c r="L156" s="31">
        <f>2041703</f>
        <v>2041703</v>
      </c>
    </row>
    <row r="157" spans="1:12" ht="26.25">
      <c r="A157" s="334"/>
      <c r="B157" s="25"/>
      <c r="C157" s="25"/>
      <c r="D157" s="56" t="s">
        <v>89</v>
      </c>
      <c r="E157" s="340"/>
      <c r="F157" s="340"/>
      <c r="G157" s="350"/>
      <c r="H157" s="25"/>
      <c r="I157" s="25"/>
      <c r="J157" s="25"/>
      <c r="K157" s="25"/>
      <c r="L157" s="31"/>
    </row>
    <row r="158" spans="1:12">
      <c r="A158" s="334"/>
      <c r="B158" s="25">
        <f>(B159+B160)/2</f>
        <v>23099081.5</v>
      </c>
      <c r="C158" s="25">
        <f>(C159+C160)/2</f>
        <v>74690847</v>
      </c>
      <c r="D158" s="56" t="s">
        <v>90</v>
      </c>
      <c r="E158" s="340"/>
      <c r="F158" s="340"/>
      <c r="G158" s="350"/>
      <c r="H158" s="25">
        <f>(H159+H160)/2</f>
        <v>62578954</v>
      </c>
      <c r="I158" s="25">
        <f>(I159+I160)/2</f>
        <v>69414851</v>
      </c>
      <c r="J158" s="25">
        <f>(J159+J160)/2</f>
        <v>74690847</v>
      </c>
      <c r="K158" s="25">
        <f>(K159+K160)/2</f>
        <v>74690847</v>
      </c>
      <c r="L158" s="68">
        <f>(L159+L160)/2</f>
        <v>67962597.5</v>
      </c>
    </row>
    <row r="159" spans="1:12" ht="34.5" customHeight="1">
      <c r="A159" s="334"/>
      <c r="B159" s="71">
        <f>67335177-32314063-4027553-11038005</f>
        <v>19955556</v>
      </c>
      <c r="C159" s="71">
        <f>67335177</f>
        <v>67335177</v>
      </c>
      <c r="D159" s="56" t="s">
        <v>91</v>
      </c>
      <c r="E159" s="340"/>
      <c r="F159" s="340"/>
      <c r="G159" s="350"/>
      <c r="H159" s="71">
        <f>67335177</f>
        <v>67335177</v>
      </c>
      <c r="I159" s="71">
        <f>67335177</f>
        <v>67335177</v>
      </c>
      <c r="J159" s="71">
        <f>67335177</f>
        <v>67335177</v>
      </c>
      <c r="K159" s="71">
        <f>67335177</f>
        <v>67335177</v>
      </c>
      <c r="L159" s="31">
        <f>67335177</f>
        <v>67335177</v>
      </c>
    </row>
    <row r="160" spans="1:12" ht="38.25" customHeight="1">
      <c r="A160" s="334"/>
      <c r="B160" s="71">
        <f>82046517-49629686-1582605-4591619</f>
        <v>26242607</v>
      </c>
      <c r="C160" s="71">
        <f>82046517</f>
        <v>82046517</v>
      </c>
      <c r="D160" s="56" t="s">
        <v>92</v>
      </c>
      <c r="E160" s="340"/>
      <c r="F160" s="340"/>
      <c r="G160" s="350"/>
      <c r="H160" s="71">
        <v>57822731</v>
      </c>
      <c r="I160" s="71">
        <v>71494525</v>
      </c>
      <c r="J160" s="71">
        <f>82046517</f>
        <v>82046517</v>
      </c>
      <c r="K160" s="71">
        <f>J160</f>
        <v>82046517</v>
      </c>
      <c r="L160" s="31">
        <v>68590018</v>
      </c>
    </row>
    <row r="161" spans="1:12" ht="30" customHeight="1">
      <c r="A161" s="334" t="s">
        <v>28</v>
      </c>
      <c r="B161" s="28">
        <f>B162/B163</f>
        <v>0.5350658455514048</v>
      </c>
      <c r="C161" s="28">
        <f>C162/C163</f>
        <v>0.12912495197622714</v>
      </c>
      <c r="D161" s="56" t="s">
        <v>94</v>
      </c>
      <c r="E161" s="340" t="s">
        <v>202</v>
      </c>
      <c r="F161" s="340" t="s">
        <v>97</v>
      </c>
      <c r="G161" s="350" t="s">
        <v>213</v>
      </c>
      <c r="H161" s="28">
        <f>H162/H163</f>
        <v>0.17007642194878878</v>
      </c>
      <c r="I161" s="28">
        <f>I162/I163</f>
        <v>0.148235670402456</v>
      </c>
      <c r="J161" s="28">
        <f>J162/J163</f>
        <v>0.12912495197622714</v>
      </c>
      <c r="K161" s="28">
        <f>K162/K163</f>
        <v>0.12912495197622714</v>
      </c>
      <c r="L161" s="62">
        <f>L162/L163</f>
        <v>3.1582858636560823E-2</v>
      </c>
    </row>
    <row r="162" spans="1:12" ht="26.25">
      <c r="A162" s="334"/>
      <c r="B162" s="71">
        <f>9869808</f>
        <v>9869808</v>
      </c>
      <c r="C162" s="71">
        <f>9869808</f>
        <v>9869808</v>
      </c>
      <c r="D162" s="56" t="s">
        <v>95</v>
      </c>
      <c r="E162" s="340"/>
      <c r="F162" s="340"/>
      <c r="G162" s="350"/>
      <c r="H162" s="71">
        <f>8917657</f>
        <v>8917657</v>
      </c>
      <c r="I162" s="71">
        <f>9782823</f>
        <v>9782823</v>
      </c>
      <c r="J162" s="71">
        <f>9869808</f>
        <v>9869808</v>
      </c>
      <c r="K162" s="71">
        <f>9869808</f>
        <v>9869808</v>
      </c>
      <c r="L162" s="31">
        <v>1950201</v>
      </c>
    </row>
    <row r="163" spans="1:12" ht="26.25">
      <c r="A163" s="334"/>
      <c r="B163" s="71">
        <f>76436102-33758250-15597883-8634000</f>
        <v>18445969</v>
      </c>
      <c r="C163" s="71">
        <f>76436102</f>
        <v>76436102</v>
      </c>
      <c r="D163" s="56" t="s">
        <v>96</v>
      </c>
      <c r="E163" s="340"/>
      <c r="F163" s="340"/>
      <c r="G163" s="350"/>
      <c r="H163" s="71">
        <v>52433235</v>
      </c>
      <c r="I163" s="71">
        <v>65995067</v>
      </c>
      <c r="J163" s="71">
        <f>76436102</f>
        <v>76436102</v>
      </c>
      <c r="K163" s="71">
        <f>J163</f>
        <v>76436102</v>
      </c>
      <c r="L163" s="31">
        <v>61748717</v>
      </c>
    </row>
    <row r="164" spans="1:12" ht="36.75" customHeight="1">
      <c r="A164" s="334" t="s">
        <v>30</v>
      </c>
      <c r="B164" s="29">
        <f>B165/(B166-B167)</f>
        <v>0.78676026691777556</v>
      </c>
      <c r="C164" s="28">
        <f>5610415/(C166-C167)</f>
        <v>8.3379645739997954E-2</v>
      </c>
      <c r="D164" s="56" t="s">
        <v>98</v>
      </c>
      <c r="E164" s="340" t="s">
        <v>203</v>
      </c>
      <c r="F164" s="340" t="s">
        <v>102</v>
      </c>
      <c r="G164" s="350" t="s">
        <v>218</v>
      </c>
      <c r="H164" s="28">
        <f>H165/(H166-H167)</f>
        <v>0.12258529589933401</v>
      </c>
      <c r="I164" s="28">
        <f>I165/(I166-I167)</f>
        <v>9.6775262438584544E-2</v>
      </c>
      <c r="J164" s="28">
        <f>5610415/(J166-J167)</f>
        <v>8.3379645739997954E-2</v>
      </c>
      <c r="K164" s="28">
        <f>5610415/(K166-K167)</f>
        <v>8.3379645739997954E-2</v>
      </c>
      <c r="L164" s="62">
        <f>L165/(L166-L167)</f>
        <v>0.13196981328645876</v>
      </c>
    </row>
    <row r="165" spans="1:12" ht="53.25" customHeight="1">
      <c r="A165" s="334"/>
      <c r="B165" s="71">
        <f>5610415</f>
        <v>5610415</v>
      </c>
      <c r="C165" s="71">
        <f>5610415</f>
        <v>5610415</v>
      </c>
      <c r="D165" s="56" t="s">
        <v>99</v>
      </c>
      <c r="E165" s="340"/>
      <c r="F165" s="340"/>
      <c r="G165" s="350"/>
      <c r="H165" s="71">
        <v>5389496</v>
      </c>
      <c r="I165" s="71">
        <v>5499458</v>
      </c>
      <c r="J165" s="71">
        <f>5610415</f>
        <v>5610415</v>
      </c>
      <c r="K165" s="71">
        <f>5610415</f>
        <v>5610415</v>
      </c>
      <c r="L165" s="31">
        <f>6841301</f>
        <v>6841301</v>
      </c>
    </row>
    <row r="166" spans="1:12" ht="18" customHeight="1">
      <c r="A166" s="334"/>
      <c r="B166" s="71">
        <f>76436102-33758250-15597883-10800417</f>
        <v>16279552</v>
      </c>
      <c r="C166" s="71">
        <f>76436102</f>
        <v>76436102</v>
      </c>
      <c r="D166" s="56" t="s">
        <v>100</v>
      </c>
      <c r="E166" s="340"/>
      <c r="F166" s="340"/>
      <c r="G166" s="350"/>
      <c r="H166" s="71">
        <v>52433235</v>
      </c>
      <c r="I166" s="71">
        <v>65995067</v>
      </c>
      <c r="J166" s="71">
        <f>76436102</f>
        <v>76436102</v>
      </c>
      <c r="K166" s="71">
        <f>J166</f>
        <v>76436102</v>
      </c>
      <c r="L166" s="31">
        <f>61748717</f>
        <v>61748717</v>
      </c>
    </row>
    <row r="167" spans="1:12" ht="39" customHeight="1">
      <c r="A167" s="334"/>
      <c r="B167" s="71">
        <v>9148517</v>
      </c>
      <c r="C167" s="71">
        <v>9148517</v>
      </c>
      <c r="D167" s="56" t="s">
        <v>101</v>
      </c>
      <c r="E167" s="340"/>
      <c r="F167" s="340"/>
      <c r="G167" s="350"/>
      <c r="H167" s="71">
        <v>8467962</v>
      </c>
      <c r="I167" s="71">
        <f>8467962+700000</f>
        <v>9167962</v>
      </c>
      <c r="J167" s="71">
        <v>9148517</v>
      </c>
      <c r="K167" s="71">
        <f>J167</f>
        <v>9148517</v>
      </c>
      <c r="L167" s="31">
        <f>9908824</f>
        <v>9908824</v>
      </c>
    </row>
    <row r="168" spans="1:12" ht="25.5" customHeight="1">
      <c r="A168" s="334" t="s">
        <v>32</v>
      </c>
      <c r="B168" s="29">
        <f>B170/(B169/B171)</f>
        <v>10.410612570309821</v>
      </c>
      <c r="C168" s="29">
        <f>C170/(C169/C171)</f>
        <v>59.932215224500119</v>
      </c>
      <c r="D168" s="56" t="s">
        <v>103</v>
      </c>
      <c r="E168" s="340" t="s">
        <v>204</v>
      </c>
      <c r="F168" s="340" t="s">
        <v>107</v>
      </c>
      <c r="G168" s="350" t="s">
        <v>213</v>
      </c>
      <c r="H168" s="29">
        <f>H170/(H169/H171)</f>
        <v>190.77668209060977</v>
      </c>
      <c r="I168" s="29">
        <f>I170/(I169/I171)</f>
        <v>120.33528609415559</v>
      </c>
      <c r="J168" s="29">
        <f>J170/(J169/J171)</f>
        <v>59.932215224500119</v>
      </c>
      <c r="K168" s="29">
        <f>K170/((K169/K171)/2)</f>
        <v>89.898322836750182</v>
      </c>
      <c r="L168" s="62">
        <f>L170/(L169/L171)</f>
        <v>37.558608667274157</v>
      </c>
    </row>
    <row r="169" spans="1:12" ht="68.25" customHeight="1">
      <c r="A169" s="334"/>
      <c r="B169" s="71">
        <v>62516693</v>
      </c>
      <c r="C169" s="71">
        <v>62516693</v>
      </c>
      <c r="D169" s="56" t="s">
        <v>104</v>
      </c>
      <c r="E169" s="340"/>
      <c r="F169" s="340"/>
      <c r="G169" s="350"/>
      <c r="H169" s="71">
        <v>17693919</v>
      </c>
      <c r="I169" s="71">
        <v>38811034</v>
      </c>
      <c r="J169" s="71">
        <v>62516693</v>
      </c>
      <c r="K169" s="25">
        <f>J169/3*4</f>
        <v>83355590.666666672</v>
      </c>
      <c r="L169" s="31">
        <v>91068655</v>
      </c>
    </row>
    <row r="170" spans="1:12" ht="30.75" customHeight="1">
      <c r="A170" s="334"/>
      <c r="B170" s="71">
        <v>90</v>
      </c>
      <c r="C170" s="71">
        <v>90</v>
      </c>
      <c r="D170" s="56" t="s">
        <v>105</v>
      </c>
      <c r="E170" s="340"/>
      <c r="F170" s="340"/>
      <c r="G170" s="350"/>
      <c r="H170" s="71">
        <v>90</v>
      </c>
      <c r="I170" s="71">
        <v>90</v>
      </c>
      <c r="J170" s="71">
        <v>90</v>
      </c>
      <c r="K170" s="71">
        <v>90</v>
      </c>
      <c r="L170" s="31">
        <v>90</v>
      </c>
    </row>
    <row r="171" spans="1:12" ht="99.75" customHeight="1">
      <c r="A171" s="334"/>
      <c r="B171" s="71">
        <f>47953656-33758250-15597883--8634000</f>
        <v>7231523</v>
      </c>
      <c r="C171" s="71">
        <f>(34962041+48299379)/2</f>
        <v>41630710</v>
      </c>
      <c r="D171" s="56" t="s">
        <v>106</v>
      </c>
      <c r="E171" s="340"/>
      <c r="F171" s="340"/>
      <c r="G171" s="350"/>
      <c r="H171" s="71">
        <f>37506524</f>
        <v>37506524</v>
      </c>
      <c r="I171" s="71">
        <f>51892632</f>
        <v>51892632</v>
      </c>
      <c r="J171" s="71">
        <f>(34962041+48299379)/2</f>
        <v>41630710</v>
      </c>
      <c r="K171" s="71">
        <f>J171</f>
        <v>41630710</v>
      </c>
      <c r="L171" s="68">
        <f>(34962041+41047114)/2</f>
        <v>38004577.5</v>
      </c>
    </row>
    <row r="172" spans="1:12" ht="15" customHeight="1">
      <c r="A172" s="334" t="s">
        <v>34</v>
      </c>
      <c r="B172" s="29">
        <f>B174/(B173/B175)</f>
        <v>1.462351343504366</v>
      </c>
      <c r="C172" s="29">
        <f>C174/(C173/C175)</f>
        <v>10.350855570687337</v>
      </c>
      <c r="D172" s="56" t="s">
        <v>108</v>
      </c>
      <c r="E172" s="340" t="s">
        <v>205</v>
      </c>
      <c r="F172" s="340" t="s">
        <v>112</v>
      </c>
      <c r="G172" s="350" t="s">
        <v>214</v>
      </c>
      <c r="H172" s="29">
        <f>H174/(H173/H175)</f>
        <v>75.780891163794749</v>
      </c>
      <c r="I172" s="29">
        <f>I174/(I173/I175)</f>
        <v>32.253753919568339</v>
      </c>
      <c r="J172" s="29">
        <f>J174/(J173/J175)</f>
        <v>10.350855570687337</v>
      </c>
      <c r="K172" s="88">
        <f>K174/(K173/K175)</f>
        <v>7.7631416780155016</v>
      </c>
      <c r="L172" s="88">
        <f>L174/(L173/L175)</f>
        <v>15.655175318005961</v>
      </c>
    </row>
    <row r="173" spans="1:12" ht="51.75">
      <c r="A173" s="334"/>
      <c r="B173" s="71">
        <v>62516693</v>
      </c>
      <c r="C173" s="71">
        <v>62516693</v>
      </c>
      <c r="D173" s="56" t="s">
        <v>109</v>
      </c>
      <c r="E173" s="340"/>
      <c r="F173" s="340"/>
      <c r="G173" s="350"/>
      <c r="H173" s="71">
        <f>H169</f>
        <v>17693919</v>
      </c>
      <c r="I173" s="71">
        <f>I169</f>
        <v>38811034</v>
      </c>
      <c r="J173" s="71">
        <v>62516693</v>
      </c>
      <c r="K173" s="25">
        <f>K169</f>
        <v>83355590.666666672</v>
      </c>
      <c r="L173" s="31">
        <v>91068655</v>
      </c>
    </row>
    <row r="174" spans="1:12">
      <c r="A174" s="334"/>
      <c r="B174" s="71">
        <v>90</v>
      </c>
      <c r="C174" s="71">
        <v>90</v>
      </c>
      <c r="D174" s="56" t="s">
        <v>110</v>
      </c>
      <c r="E174" s="340"/>
      <c r="F174" s="340"/>
      <c r="G174" s="350"/>
      <c r="H174" s="71">
        <v>90</v>
      </c>
      <c r="I174" s="71">
        <v>90</v>
      </c>
      <c r="J174" s="71">
        <v>90</v>
      </c>
      <c r="K174" s="71">
        <v>90</v>
      </c>
      <c r="L174" s="31">
        <v>90</v>
      </c>
    </row>
    <row r="175" spans="1:12" ht="51.75">
      <c r="A175" s="334"/>
      <c r="B175" s="71">
        <f>7190014-1582602-4591619</f>
        <v>1015793</v>
      </c>
      <c r="C175" s="71">
        <f>7190014</f>
        <v>7190014</v>
      </c>
      <c r="D175" s="56" t="s">
        <v>111</v>
      </c>
      <c r="E175" s="340"/>
      <c r="F175" s="340"/>
      <c r="G175" s="350"/>
      <c r="H175" s="71">
        <v>14898455</v>
      </c>
      <c r="I175" s="71">
        <f>13908906</f>
        <v>13908906</v>
      </c>
      <c r="J175" s="71">
        <f>7190014</f>
        <v>7190014</v>
      </c>
      <c r="K175" s="71">
        <f>J175</f>
        <v>7190014</v>
      </c>
      <c r="L175" s="31">
        <f>(15981072+15701056)/2</f>
        <v>15841064</v>
      </c>
    </row>
    <row r="176" spans="1:12" ht="39" customHeight="1">
      <c r="A176" s="334" t="s">
        <v>244</v>
      </c>
      <c r="B176" s="28">
        <f>B177/(B178-B179)</f>
        <v>1.3240730034044115</v>
      </c>
      <c r="C176" s="28">
        <f>C177/(C178-C179)</f>
        <v>1.0171406062500237</v>
      </c>
      <c r="D176" s="56" t="s">
        <v>113</v>
      </c>
      <c r="E176" s="340" t="s">
        <v>206</v>
      </c>
      <c r="F176" s="340" t="s">
        <v>115</v>
      </c>
      <c r="G176" s="350" t="s">
        <v>215</v>
      </c>
      <c r="H176" s="28">
        <f>H177/(H178-H179)</f>
        <v>1.1191881904912304</v>
      </c>
      <c r="I176" s="28">
        <f>I177/(I178-I179)</f>
        <v>1.1086661475389596</v>
      </c>
      <c r="J176" s="28">
        <f>J177/(J178-J179)</f>
        <v>1.0171406062500237</v>
      </c>
      <c r="K176" s="28">
        <f>K177/(K178-K179)</f>
        <v>1.0171406062500237</v>
      </c>
      <c r="L176" s="88">
        <f>L177/(L178-L179)</f>
        <v>0.99083869636845123</v>
      </c>
    </row>
    <row r="177" spans="1:12" ht="39">
      <c r="A177" s="334"/>
      <c r="B177" s="71">
        <f>68440935</f>
        <v>68440935</v>
      </c>
      <c r="C177" s="71">
        <f>68440935</f>
        <v>68440935</v>
      </c>
      <c r="D177" s="56" t="s">
        <v>114</v>
      </c>
      <c r="E177" s="340"/>
      <c r="F177" s="340"/>
      <c r="G177" s="350"/>
      <c r="H177" s="71">
        <v>48702121</v>
      </c>
      <c r="I177" s="71">
        <f>62320612</f>
        <v>62320612</v>
      </c>
      <c r="J177" s="71">
        <f>68440935</f>
        <v>68440935</v>
      </c>
      <c r="K177" s="71">
        <f>68440935</f>
        <v>68440935</v>
      </c>
      <c r="L177" s="31">
        <v>51364972</v>
      </c>
    </row>
    <row r="178" spans="1:12">
      <c r="A178" s="334"/>
      <c r="B178" s="71">
        <f>76436102-15597886</f>
        <v>60838216</v>
      </c>
      <c r="C178" s="71">
        <f>76436102</f>
        <v>76436102</v>
      </c>
      <c r="D178" s="56" t="s">
        <v>100</v>
      </c>
      <c r="E178" s="340"/>
      <c r="F178" s="340"/>
      <c r="G178" s="350"/>
      <c r="H178" s="71">
        <v>52433235</v>
      </c>
      <c r="I178" s="71">
        <f>I163</f>
        <v>65995067</v>
      </c>
      <c r="J178" s="71">
        <f>76436102</f>
        <v>76436102</v>
      </c>
      <c r="K178" s="71">
        <f>J178</f>
        <v>76436102</v>
      </c>
      <c r="L178" s="31">
        <v>61748717</v>
      </c>
    </row>
    <row r="179" spans="1:12" ht="57.75" customHeight="1">
      <c r="A179" s="334"/>
      <c r="B179" s="71">
        <v>9148517</v>
      </c>
      <c r="C179" s="71">
        <v>9148517</v>
      </c>
      <c r="D179" s="56" t="s">
        <v>101</v>
      </c>
      <c r="E179" s="340"/>
      <c r="F179" s="340"/>
      <c r="G179" s="350"/>
      <c r="H179" s="71">
        <f>8917657</f>
        <v>8917657</v>
      </c>
      <c r="I179" s="71">
        <f>9782823</f>
        <v>9782823</v>
      </c>
      <c r="J179" s="71">
        <v>9148517</v>
      </c>
      <c r="K179" s="71">
        <f>K167</f>
        <v>9148517</v>
      </c>
      <c r="L179" s="31">
        <f>9908824</f>
        <v>9908824</v>
      </c>
    </row>
    <row r="180" spans="1:12" ht="21" customHeight="1">
      <c r="A180" s="334" t="s">
        <v>116</v>
      </c>
      <c r="B180" s="28">
        <f>B181/B183</f>
        <v>0.29976457435512555</v>
      </c>
      <c r="C180" s="28">
        <f>C181/C183</f>
        <v>0.29976457435512555</v>
      </c>
      <c r="D180" s="56" t="s">
        <v>117</v>
      </c>
      <c r="E180" s="340" t="s">
        <v>207</v>
      </c>
      <c r="F180" s="340" t="s">
        <v>208</v>
      </c>
      <c r="H180" s="28"/>
      <c r="I180" s="28"/>
      <c r="J180" s="28">
        <f>J181/J183</f>
        <v>0.29976457435512555</v>
      </c>
      <c r="K180" s="28">
        <f>K181/K183</f>
        <v>0.29976457435512555</v>
      </c>
      <c r="L180" s="62">
        <f>L181/L183</f>
        <v>0.50002982440997246</v>
      </c>
    </row>
    <row r="181" spans="1:12" ht="35.25" customHeight="1">
      <c r="A181" s="334"/>
      <c r="B181" s="71">
        <v>38.799999999999997</v>
      </c>
      <c r="C181" s="71">
        <v>38.799999999999997</v>
      </c>
      <c r="D181" s="56" t="s">
        <v>118</v>
      </c>
      <c r="E181" s="340"/>
      <c r="F181" s="340"/>
      <c r="H181" s="71"/>
      <c r="I181" s="71"/>
      <c r="J181" s="71">
        <v>38.799999999999997</v>
      </c>
      <c r="K181" s="71">
        <v>38.799999999999997</v>
      </c>
      <c r="L181" s="31">
        <v>310.22000000000003</v>
      </c>
    </row>
    <row r="182" spans="1:12" ht="20.25" customHeight="1">
      <c r="A182" s="334"/>
      <c r="B182" s="71"/>
      <c r="C182" s="71"/>
      <c r="D182" s="56" t="s">
        <v>119</v>
      </c>
      <c r="E182" s="340"/>
      <c r="F182" s="340"/>
      <c r="H182" s="71"/>
      <c r="I182" s="71"/>
      <c r="J182" s="71"/>
      <c r="K182" s="71"/>
      <c r="L182" s="31"/>
    </row>
    <row r="183" spans="1:12" ht="20.25" customHeight="1">
      <c r="A183" s="334"/>
      <c r="B183" s="29">
        <f>(B184-B185)/B186</f>
        <v>129.43490765534673</v>
      </c>
      <c r="C183" s="24">
        <f>(C184-C185)/C186</f>
        <v>129.43490765534673</v>
      </c>
      <c r="D183" s="56" t="s">
        <v>120</v>
      </c>
      <c r="E183" s="340"/>
      <c r="F183" s="340"/>
      <c r="H183" s="24"/>
      <c r="I183" s="24"/>
      <c r="J183" s="24">
        <f>(J184-J185)/J186</f>
        <v>129.43490765534673</v>
      </c>
      <c r="K183" s="24">
        <f>(K184-K185)/K186</f>
        <v>129.43490765534673</v>
      </c>
      <c r="L183" s="60">
        <f>(L184-L185)/L186</f>
        <v>620.4029936935359</v>
      </c>
    </row>
    <row r="184" spans="1:12" ht="44.25" customHeight="1">
      <c r="A184" s="334"/>
      <c r="B184" s="71">
        <v>331125000</v>
      </c>
      <c r="C184" s="71">
        <v>331125000</v>
      </c>
      <c r="D184" s="71" t="s">
        <v>216</v>
      </c>
      <c r="E184" s="340"/>
      <c r="F184" s="340"/>
      <c r="H184" s="71"/>
      <c r="I184" s="71"/>
      <c r="J184" s="71">
        <v>331125000</v>
      </c>
      <c r="K184" s="71">
        <v>331125000</v>
      </c>
      <c r="L184" s="31">
        <v>1586715000</v>
      </c>
    </row>
    <row r="185" spans="1:12" ht="33" customHeight="1">
      <c r="A185" s="334"/>
      <c r="B185" s="25">
        <v>111273.60000000001</v>
      </c>
      <c r="C185" s="25">
        <v>111273.60000000001</v>
      </c>
      <c r="D185" s="56" t="s">
        <v>121</v>
      </c>
      <c r="E185" s="340"/>
      <c r="F185" s="340"/>
      <c r="H185" s="29"/>
      <c r="I185" s="29"/>
      <c r="J185" s="25">
        <v>111273.60000000001</v>
      </c>
      <c r="K185" s="25">
        <v>111273.60000000001</v>
      </c>
      <c r="L185" s="25">
        <v>111273.60000000001</v>
      </c>
    </row>
    <row r="186" spans="1:12" ht="37.5" customHeight="1">
      <c r="A186" s="334"/>
      <c r="B186" s="71">
        <v>2557376</v>
      </c>
      <c r="C186" s="71">
        <v>2557376</v>
      </c>
      <c r="D186" s="56" t="s">
        <v>122</v>
      </c>
      <c r="E186" s="340"/>
      <c r="F186" s="340"/>
      <c r="H186" s="71"/>
      <c r="I186" s="71"/>
      <c r="J186" s="71">
        <v>2557376</v>
      </c>
      <c r="K186" s="71">
        <v>2557376</v>
      </c>
      <c r="L186" s="71">
        <v>2557376</v>
      </c>
    </row>
    <row r="187" spans="1:12" ht="96.75" customHeight="1">
      <c r="A187" s="40" t="s">
        <v>40</v>
      </c>
      <c r="B187" s="71"/>
      <c r="C187" s="71"/>
      <c r="D187" s="71" t="s">
        <v>123</v>
      </c>
      <c r="E187" s="71" t="s">
        <v>124</v>
      </c>
      <c r="F187" s="71" t="s">
        <v>125</v>
      </c>
      <c r="H187" s="71"/>
      <c r="I187" s="71"/>
      <c r="J187" s="71"/>
      <c r="K187" s="71"/>
      <c r="L187" s="31"/>
    </row>
    <row r="188" spans="1:12" ht="15.75">
      <c r="A188" s="4" t="s">
        <v>0</v>
      </c>
      <c r="B188" s="114"/>
      <c r="C188" s="114"/>
      <c r="D188" s="55"/>
      <c r="E188" s="55"/>
      <c r="F188" s="55"/>
    </row>
    <row r="189" spans="1:12" ht="15.75">
      <c r="A189" s="4"/>
      <c r="B189" s="114"/>
      <c r="C189" s="114"/>
      <c r="D189" s="55"/>
      <c r="E189" s="55"/>
      <c r="F189" s="55"/>
    </row>
    <row r="190" spans="1:12" ht="15.75">
      <c r="A190" s="349" t="s">
        <v>217</v>
      </c>
      <c r="B190" s="349"/>
      <c r="C190" s="349"/>
      <c r="D190" s="349"/>
      <c r="E190" s="349"/>
      <c r="F190" s="349"/>
    </row>
    <row r="191" spans="1:12" ht="15.75">
      <c r="A191" s="4"/>
      <c r="B191" s="114"/>
      <c r="C191" s="114"/>
      <c r="D191" s="55"/>
      <c r="E191" s="55"/>
      <c r="F191" s="55"/>
    </row>
    <row r="192" spans="1:12" ht="15.75">
      <c r="A192" s="4"/>
      <c r="B192" s="114"/>
      <c r="C192" s="114"/>
      <c r="D192" s="55"/>
      <c r="E192" s="55"/>
      <c r="F192" s="55"/>
    </row>
    <row r="193" spans="1:6" ht="15.75">
      <c r="A193" s="4"/>
      <c r="B193" s="114"/>
      <c r="C193" s="114"/>
      <c r="D193" s="55"/>
      <c r="E193" s="55"/>
      <c r="F193" s="55"/>
    </row>
    <row r="194" spans="1:6" ht="15.75">
      <c r="A194" s="4"/>
      <c r="B194" s="114"/>
      <c r="C194" s="114"/>
      <c r="D194" s="55"/>
      <c r="E194" s="55"/>
      <c r="F194" s="55"/>
    </row>
  </sheetData>
  <mergeCells count="150">
    <mergeCell ref="L10:L17"/>
    <mergeCell ref="M10:M17"/>
    <mergeCell ref="N10:N17"/>
    <mergeCell ref="L18:L20"/>
    <mergeCell ref="M18:M20"/>
    <mergeCell ref="N18:N20"/>
    <mergeCell ref="O10:O17"/>
    <mergeCell ref="O18:O20"/>
    <mergeCell ref="M50:M56"/>
    <mergeCell ref="L140:L147"/>
    <mergeCell ref="L148:L150"/>
    <mergeCell ref="A180:A186"/>
    <mergeCell ref="E180:E186"/>
    <mergeCell ref="F180:F186"/>
    <mergeCell ref="A190:F190"/>
    <mergeCell ref="H135:K135"/>
    <mergeCell ref="A172:A175"/>
    <mergeCell ref="E172:E175"/>
    <mergeCell ref="F172:F175"/>
    <mergeCell ref="G172:G175"/>
    <mergeCell ref="A176:A179"/>
    <mergeCell ref="E176:E179"/>
    <mergeCell ref="F176:F179"/>
    <mergeCell ref="G176:G179"/>
    <mergeCell ref="A164:A167"/>
    <mergeCell ref="E164:E167"/>
    <mergeCell ref="F164:F167"/>
    <mergeCell ref="G164:G167"/>
    <mergeCell ref="A168:A171"/>
    <mergeCell ref="E168:E171"/>
    <mergeCell ref="F168:F171"/>
    <mergeCell ref="G168:G171"/>
    <mergeCell ref="A155:A160"/>
    <mergeCell ref="E155:E160"/>
    <mergeCell ref="F155:F160"/>
    <mergeCell ref="G155:G160"/>
    <mergeCell ref="A161:A163"/>
    <mergeCell ref="E161:E163"/>
    <mergeCell ref="F161:F163"/>
    <mergeCell ref="G161:G163"/>
    <mergeCell ref="H140:H147"/>
    <mergeCell ref="A138:A150"/>
    <mergeCell ref="I140:I147"/>
    <mergeCell ref="J140:J147"/>
    <mergeCell ref="K140:K147"/>
    <mergeCell ref="B148:B150"/>
    <mergeCell ref="C148:C150"/>
    <mergeCell ref="H148:H150"/>
    <mergeCell ref="I148:I150"/>
    <mergeCell ref="J148:J150"/>
    <mergeCell ref="K148:K150"/>
    <mergeCell ref="E138:E150"/>
    <mergeCell ref="F138:F150"/>
    <mergeCell ref="B140:B147"/>
    <mergeCell ref="C140:C147"/>
    <mergeCell ref="A131:F131"/>
    <mergeCell ref="A132:F132"/>
    <mergeCell ref="A133:F133"/>
    <mergeCell ref="A134:F134"/>
    <mergeCell ref="A137:F137"/>
    <mergeCell ref="E42:E45"/>
    <mergeCell ref="E46:E49"/>
    <mergeCell ref="F46:F49"/>
    <mergeCell ref="B10:B17"/>
    <mergeCell ref="B18:B20"/>
    <mergeCell ref="F8:F20"/>
    <mergeCell ref="E50:E56"/>
    <mergeCell ref="F50:F56"/>
    <mergeCell ref="A60:F60"/>
    <mergeCell ref="A46:A49"/>
    <mergeCell ref="A50:A56"/>
    <mergeCell ref="A70:F70"/>
    <mergeCell ref="A73:F73"/>
    <mergeCell ref="A74:A86"/>
    <mergeCell ref="E74:E86"/>
    <mergeCell ref="F74:F86"/>
    <mergeCell ref="B76:B83"/>
    <mergeCell ref="C76:C83"/>
    <mergeCell ref="B84:B86"/>
    <mergeCell ref="A1:F1"/>
    <mergeCell ref="A2:F2"/>
    <mergeCell ref="A3:F3"/>
    <mergeCell ref="A4:F4"/>
    <mergeCell ref="E8:E20"/>
    <mergeCell ref="A38:A41"/>
    <mergeCell ref="F38:F41"/>
    <mergeCell ref="A42:A45"/>
    <mergeCell ref="F42:F45"/>
    <mergeCell ref="E34:E37"/>
    <mergeCell ref="E38:E41"/>
    <mergeCell ref="A31:A33"/>
    <mergeCell ref="A34:A37"/>
    <mergeCell ref="F34:F37"/>
    <mergeCell ref="E25:E30"/>
    <mergeCell ref="E31:E33"/>
    <mergeCell ref="F31:F33"/>
    <mergeCell ref="A8:A20"/>
    <mergeCell ref="A7:F7"/>
    <mergeCell ref="C10:C17"/>
    <mergeCell ref="C18:C20"/>
    <mergeCell ref="A25:A30"/>
    <mergeCell ref="F25:F30"/>
    <mergeCell ref="G42:G45"/>
    <mergeCell ref="G46:G49"/>
    <mergeCell ref="G31:G33"/>
    <mergeCell ref="G25:G30"/>
    <mergeCell ref="G38:G41"/>
    <mergeCell ref="G34:G37"/>
    <mergeCell ref="A67:F67"/>
    <mergeCell ref="A68:F68"/>
    <mergeCell ref="A69:F69"/>
    <mergeCell ref="E104:E107"/>
    <mergeCell ref="F104:F107"/>
    <mergeCell ref="G104:G107"/>
    <mergeCell ref="A116:A122"/>
    <mergeCell ref="E116:E122"/>
    <mergeCell ref="F116:F122"/>
    <mergeCell ref="C84:C86"/>
    <mergeCell ref="A91:A96"/>
    <mergeCell ref="E91:E96"/>
    <mergeCell ref="F91:F96"/>
    <mergeCell ref="G91:G96"/>
    <mergeCell ref="A97:A99"/>
    <mergeCell ref="E97:E99"/>
    <mergeCell ref="F97:F99"/>
    <mergeCell ref="G97:G99"/>
    <mergeCell ref="P10:P17"/>
    <mergeCell ref="P18:P20"/>
    <mergeCell ref="K10:K17"/>
    <mergeCell ref="K18:K20"/>
    <mergeCell ref="I10:I17"/>
    <mergeCell ref="I18:I20"/>
    <mergeCell ref="J10:J17"/>
    <mergeCell ref="J18:J20"/>
    <mergeCell ref="A126:F126"/>
    <mergeCell ref="H10:H17"/>
    <mergeCell ref="H18:H20"/>
    <mergeCell ref="A108:A111"/>
    <mergeCell ref="E108:E111"/>
    <mergeCell ref="F108:F111"/>
    <mergeCell ref="G108:G111"/>
    <mergeCell ref="A112:A115"/>
    <mergeCell ref="E112:E115"/>
    <mergeCell ref="F112:F115"/>
    <mergeCell ref="G112:G115"/>
    <mergeCell ref="A100:A103"/>
    <mergeCell ref="E100:E103"/>
    <mergeCell ref="F100:F103"/>
    <mergeCell ref="G100:G103"/>
    <mergeCell ref="A104:A107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A4" sqref="A4:G4"/>
    </sheetView>
  </sheetViews>
  <sheetFormatPr defaultRowHeight="15"/>
  <cols>
    <col min="1" max="1" width="9.140625" style="57"/>
    <col min="2" max="2" width="58.85546875" style="57" customWidth="1"/>
    <col min="3" max="3" width="10.140625" style="150" customWidth="1"/>
    <col min="4" max="4" width="12.28515625" style="57" customWidth="1"/>
    <col min="5" max="5" width="12" style="57" customWidth="1"/>
    <col min="6" max="6" width="11.85546875" style="57" customWidth="1"/>
    <col min="7" max="7" width="14" style="57" customWidth="1"/>
    <col min="8" max="8" width="7.140625" style="57" customWidth="1"/>
    <col min="9" max="16384" width="9.140625" style="57"/>
  </cols>
  <sheetData>
    <row r="1" spans="1:7">
      <c r="A1" s="307" t="s">
        <v>42</v>
      </c>
      <c r="B1" s="307"/>
      <c r="C1" s="307"/>
      <c r="D1" s="307"/>
      <c r="E1" s="307"/>
      <c r="F1" s="307"/>
      <c r="G1" s="307"/>
    </row>
    <row r="2" spans="1:7">
      <c r="A2" s="307" t="s">
        <v>4</v>
      </c>
      <c r="B2" s="307"/>
      <c r="C2" s="307"/>
      <c r="D2" s="307"/>
      <c r="E2" s="307"/>
      <c r="F2" s="307"/>
      <c r="G2" s="307"/>
    </row>
    <row r="3" spans="1:7" ht="18.75">
      <c r="A3" s="376" t="s">
        <v>5</v>
      </c>
      <c r="B3" s="376"/>
      <c r="C3" s="376"/>
      <c r="D3" s="376"/>
      <c r="E3" s="376"/>
      <c r="F3" s="376"/>
      <c r="G3" s="376"/>
    </row>
    <row r="4" spans="1:7" ht="18.75">
      <c r="A4" s="376" t="s">
        <v>284</v>
      </c>
      <c r="B4" s="376"/>
      <c r="C4" s="376"/>
      <c r="D4" s="376"/>
      <c r="E4" s="376"/>
      <c r="F4" s="376"/>
      <c r="G4" s="376"/>
    </row>
    <row r="5" spans="1:7" ht="38.25">
      <c r="A5" s="197" t="s">
        <v>6</v>
      </c>
      <c r="B5" s="197" t="s">
        <v>7</v>
      </c>
      <c r="C5" s="197" t="s">
        <v>184</v>
      </c>
      <c r="D5" s="197" t="s">
        <v>221</v>
      </c>
      <c r="E5" s="197" t="s">
        <v>185</v>
      </c>
      <c r="F5" s="197" t="s">
        <v>186</v>
      </c>
      <c r="G5" s="197" t="s">
        <v>8</v>
      </c>
    </row>
    <row r="6" spans="1:7">
      <c r="A6" s="197"/>
      <c r="B6" s="197" t="s">
        <v>9</v>
      </c>
      <c r="C6" s="197" t="s">
        <v>10</v>
      </c>
      <c r="D6" s="197" t="s">
        <v>11</v>
      </c>
      <c r="E6" s="197" t="s">
        <v>12</v>
      </c>
      <c r="F6" s="197" t="s">
        <v>13</v>
      </c>
      <c r="G6" s="197" t="s">
        <v>14</v>
      </c>
    </row>
    <row r="7" spans="1:7" ht="16.5" customHeight="1">
      <c r="A7" s="198" t="s">
        <v>15</v>
      </c>
      <c r="B7" s="38" t="s">
        <v>43</v>
      </c>
      <c r="C7" s="58">
        <v>20</v>
      </c>
      <c r="D7" s="67">
        <v>0.65</v>
      </c>
      <c r="E7" s="53">
        <f>'При №3 б'!O7</f>
        <v>0.57185353622631241</v>
      </c>
      <c r="F7" s="59">
        <f>D7/E7*100</f>
        <v>113.66546831018651</v>
      </c>
      <c r="G7" s="59">
        <f>F7*C7/100</f>
        <v>22.733093662037305</v>
      </c>
    </row>
    <row r="8" spans="1:7" ht="16.5" customHeight="1">
      <c r="A8" s="198" t="s">
        <v>17</v>
      </c>
      <c r="B8" s="38" t="s">
        <v>44</v>
      </c>
      <c r="C8" s="58">
        <v>15</v>
      </c>
      <c r="D8" s="174">
        <v>0.03</v>
      </c>
      <c r="E8" s="63">
        <f>'При №3 б'!O10</f>
        <v>1.0165633267848403E-2</v>
      </c>
      <c r="F8" s="59">
        <f t="shared" ref="F8:F11" si="0">E8/D8*100</f>
        <v>33.885444226161347</v>
      </c>
      <c r="G8" s="59">
        <f t="shared" ref="G8:G19" si="1">F8*C8/100</f>
        <v>5.0828166339242022</v>
      </c>
    </row>
    <row r="9" spans="1:7" ht="16.5" customHeight="1">
      <c r="A9" s="198" t="s">
        <v>19</v>
      </c>
      <c r="B9" s="38" t="s">
        <v>45</v>
      </c>
      <c r="C9" s="58">
        <v>15</v>
      </c>
      <c r="D9" s="174">
        <v>116854</v>
      </c>
      <c r="E9" s="59">
        <f>'При №3 б'!O13</f>
        <v>321617.05967078189</v>
      </c>
      <c r="F9" s="59">
        <f t="shared" si="0"/>
        <v>275.22982497028931</v>
      </c>
      <c r="G9" s="59">
        <f t="shared" si="1"/>
        <v>41.284473745543401</v>
      </c>
    </row>
    <row r="10" spans="1:7" ht="16.5" customHeight="1">
      <c r="A10" s="198" t="s">
        <v>21</v>
      </c>
      <c r="B10" s="38" t="s">
        <v>46</v>
      </c>
      <c r="C10" s="58">
        <v>15</v>
      </c>
      <c r="D10" s="174">
        <v>5.5</v>
      </c>
      <c r="E10" s="61">
        <f>'При №3 б'!O16</f>
        <v>8.6715245715974785</v>
      </c>
      <c r="F10" s="59">
        <f t="shared" si="0"/>
        <v>157.66408311995414</v>
      </c>
      <c r="G10" s="59">
        <f t="shared" si="1"/>
        <v>23.649612467993119</v>
      </c>
    </row>
    <row r="11" spans="1:7" ht="16.5" customHeight="1">
      <c r="A11" s="198" t="s">
        <v>23</v>
      </c>
      <c r="B11" s="38" t="s">
        <v>47</v>
      </c>
      <c r="C11" s="58">
        <v>15</v>
      </c>
      <c r="D11" s="175">
        <v>0.7</v>
      </c>
      <c r="E11" s="53">
        <f>'При №3 б'!O21</f>
        <v>0.96400000000000019</v>
      </c>
      <c r="F11" s="59">
        <f t="shared" si="0"/>
        <v>137.71428571428575</v>
      </c>
      <c r="G11" s="59">
        <f t="shared" si="1"/>
        <v>20.657142857142862</v>
      </c>
    </row>
    <row r="12" spans="1:7" ht="27.75" customHeight="1">
      <c r="A12" s="198" t="s">
        <v>25</v>
      </c>
      <c r="B12" s="38" t="s">
        <v>48</v>
      </c>
      <c r="C12" s="58">
        <v>5</v>
      </c>
      <c r="D12" s="174">
        <v>0.03</v>
      </c>
      <c r="E12" s="53">
        <f>'При №3 б'!O26</f>
        <v>2.75E-2</v>
      </c>
      <c r="F12" s="59">
        <f>D12/E12*100</f>
        <v>109.09090909090908</v>
      </c>
      <c r="G12" s="59">
        <f t="shared" si="1"/>
        <v>5.4545454545454541</v>
      </c>
    </row>
    <row r="13" spans="1:7" ht="27.75" customHeight="1">
      <c r="A13" s="198" t="s">
        <v>27</v>
      </c>
      <c r="B13" s="38" t="s">
        <v>49</v>
      </c>
      <c r="C13" s="58">
        <v>0</v>
      </c>
      <c r="D13" s="174">
        <v>0</v>
      </c>
      <c r="E13" s="58">
        <f>'При №3 б'!O29</f>
        <v>0</v>
      </c>
      <c r="F13" s="59">
        <v>0</v>
      </c>
      <c r="G13" s="59">
        <f t="shared" si="1"/>
        <v>0</v>
      </c>
    </row>
    <row r="14" spans="1:7" ht="27.75" customHeight="1">
      <c r="A14" s="198" t="s">
        <v>29</v>
      </c>
      <c r="B14" s="38" t="s">
        <v>50</v>
      </c>
      <c r="C14" s="58">
        <v>0</v>
      </c>
      <c r="D14" s="174">
        <v>0</v>
      </c>
      <c r="E14" s="58">
        <f>'При №3 б'!O33</f>
        <v>0</v>
      </c>
      <c r="F14" s="59">
        <v>0</v>
      </c>
      <c r="G14" s="59">
        <f t="shared" si="1"/>
        <v>0</v>
      </c>
    </row>
    <row r="15" spans="1:7" ht="17.25" customHeight="1">
      <c r="A15" s="198" t="s">
        <v>31</v>
      </c>
      <c r="B15" s="38" t="s">
        <v>51</v>
      </c>
      <c r="C15" s="58">
        <v>10</v>
      </c>
      <c r="D15" s="174">
        <v>14.9</v>
      </c>
      <c r="E15" s="61">
        <f>'При №3 б'!O37</f>
        <v>34.012345679012348</v>
      </c>
      <c r="F15" s="59">
        <f>E15/D15*100</f>
        <v>228.27077636921041</v>
      </c>
      <c r="G15" s="59">
        <f t="shared" si="1"/>
        <v>22.82707763692104</v>
      </c>
    </row>
    <row r="16" spans="1:7" ht="17.25" customHeight="1">
      <c r="A16" s="198" t="s">
        <v>33</v>
      </c>
      <c r="B16" s="38" t="s">
        <v>52</v>
      </c>
      <c r="C16" s="58">
        <v>5</v>
      </c>
      <c r="D16" s="174">
        <v>1.1599999999999999</v>
      </c>
      <c r="E16" s="53">
        <f>'При №3 б'!O40</f>
        <v>1.0862745098039215</v>
      </c>
      <c r="F16" s="59">
        <f>D16/E16*100</f>
        <v>106.78700361010831</v>
      </c>
      <c r="G16" s="59">
        <f t="shared" si="1"/>
        <v>5.3393501805054155</v>
      </c>
    </row>
    <row r="17" spans="1:9" ht="29.25" customHeight="1">
      <c r="A17" s="198" t="s">
        <v>35</v>
      </c>
      <c r="B17" s="38" t="s">
        <v>53</v>
      </c>
      <c r="C17" s="58">
        <v>0</v>
      </c>
      <c r="D17" s="174"/>
      <c r="E17" s="58">
        <f>'При №3 б'!O42</f>
        <v>0</v>
      </c>
      <c r="F17" s="61">
        <v>0</v>
      </c>
      <c r="G17" s="59">
        <f t="shared" si="1"/>
        <v>0</v>
      </c>
    </row>
    <row r="18" spans="1:9" ht="29.25" customHeight="1">
      <c r="A18" s="198" t="s">
        <v>37</v>
      </c>
      <c r="B18" s="38" t="s">
        <v>54</v>
      </c>
      <c r="C18" s="58">
        <v>0</v>
      </c>
      <c r="D18" s="174"/>
      <c r="E18" s="58">
        <f>'При №3 б'!O43</f>
        <v>0</v>
      </c>
      <c r="F18" s="61">
        <v>0</v>
      </c>
      <c r="G18" s="59">
        <f t="shared" si="1"/>
        <v>0</v>
      </c>
    </row>
    <row r="19" spans="1:9" ht="29.25" customHeight="1">
      <c r="A19" s="198" t="s">
        <v>39</v>
      </c>
      <c r="B19" s="38" t="s">
        <v>55</v>
      </c>
      <c r="C19" s="58">
        <v>0</v>
      </c>
      <c r="D19" s="177">
        <v>0</v>
      </c>
      <c r="E19" s="58">
        <f>'При №3 б'!O44</f>
        <v>0</v>
      </c>
      <c r="F19" s="61">
        <v>0</v>
      </c>
      <c r="G19" s="59">
        <f t="shared" si="1"/>
        <v>0</v>
      </c>
    </row>
    <row r="20" spans="1:9" s="159" customFormat="1" ht="22.5" customHeight="1">
      <c r="A20" s="328" t="s">
        <v>56</v>
      </c>
      <c r="B20" s="328"/>
      <c r="C20" s="197">
        <v>100</v>
      </c>
      <c r="D20" s="197"/>
      <c r="E20" s="144"/>
      <c r="F20" s="144"/>
      <c r="G20" s="145">
        <f>SUM(G7:G19)</f>
        <v>147.02811263861281</v>
      </c>
    </row>
    <row r="21" spans="1:9" s="152" customFormat="1" ht="18.75">
      <c r="A21" s="160" t="s">
        <v>1</v>
      </c>
      <c r="C21" s="161"/>
    </row>
    <row r="22" spans="1:9" s="64" customFormat="1" ht="18.75">
      <c r="B22" s="64" t="s">
        <v>269</v>
      </c>
      <c r="C22" s="65"/>
    </row>
    <row r="23" spans="1:9" s="64" customFormat="1" ht="18.75">
      <c r="B23" s="64" t="s">
        <v>276</v>
      </c>
      <c r="C23" s="327" t="s">
        <v>270</v>
      </c>
      <c r="D23" s="327"/>
      <c r="E23" s="327"/>
      <c r="F23" s="327"/>
      <c r="G23" s="162"/>
      <c r="H23" s="162"/>
      <c r="I23" s="162"/>
    </row>
    <row r="24" spans="1:9" s="64" customFormat="1" ht="18.75">
      <c r="C24" s="200"/>
      <c r="D24" s="200"/>
      <c r="E24" s="200"/>
      <c r="F24" s="200"/>
    </row>
    <row r="25" spans="1:9" s="64" customFormat="1" ht="18.75">
      <c r="B25" s="64" t="s">
        <v>271</v>
      </c>
      <c r="C25" s="327" t="s">
        <v>250</v>
      </c>
      <c r="D25" s="327"/>
      <c r="E25" s="327"/>
      <c r="F25" s="327"/>
      <c r="G25" s="162"/>
      <c r="H25" s="162"/>
      <c r="I25" s="162"/>
    </row>
    <row r="26" spans="1:9" s="64" customFormat="1" ht="18.75">
      <c r="C26" s="65"/>
    </row>
    <row r="27" spans="1:9" s="64" customFormat="1" ht="18.75">
      <c r="B27" s="64" t="s">
        <v>272</v>
      </c>
      <c r="C27" s="327" t="s">
        <v>278</v>
      </c>
      <c r="D27" s="327"/>
      <c r="E27" s="327"/>
      <c r="F27" s="327"/>
      <c r="G27" s="162"/>
      <c r="H27" s="162"/>
    </row>
    <row r="28" spans="1:9">
      <c r="C28" s="57"/>
    </row>
  </sheetData>
  <mergeCells count="8">
    <mergeCell ref="C27:F27"/>
    <mergeCell ref="C25:F25"/>
    <mergeCell ref="C23:F23"/>
    <mergeCell ref="A20:B20"/>
    <mergeCell ref="A1:G1"/>
    <mergeCell ref="A2:G2"/>
    <mergeCell ref="A3:G3"/>
    <mergeCell ref="A4:G4"/>
  </mergeCells>
  <pageMargins left="0.70866141732283472" right="0.55000000000000004" top="0.35" bottom="0.27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При №2 а -отч</vt:lpstr>
      <vt:lpstr>При №2 б-отч</vt:lpstr>
      <vt:lpstr>При №2 а</vt:lpstr>
      <vt:lpstr>При №3 б</vt:lpstr>
      <vt:lpstr>При №3 а</vt:lpstr>
      <vt:lpstr>При №2 б</vt:lpstr>
      <vt:lpstr>'При №2 б'!Область_печати</vt:lpstr>
      <vt:lpstr>'При №3 а'!Область_печати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2022-05-30T04:55:34Z</dcterms:modified>
</cp:coreProperties>
</file>