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1472" windowHeight="748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Лист1!$A$1:$F$32</definedName>
    <definedName name="_xlnm.Print_Area" localSheetId="1">Лист2!$A$1:$G$38</definedName>
    <definedName name="_xlnm.Print_Area" localSheetId="2">Лист3!$A$1:$E$41</definedName>
  </definedNames>
  <calcPr calcId="144525"/>
</workbook>
</file>

<file path=xl/calcChain.xml><?xml version="1.0" encoding="utf-8"?>
<calcChain xmlns="http://schemas.openxmlformats.org/spreadsheetml/2006/main">
  <c r="F23" i="1" l="1"/>
  <c r="E23" i="1"/>
  <c r="D23" i="1"/>
  <c r="C7" i="2" l="1"/>
  <c r="G7" i="2" s="1"/>
  <c r="E7" i="2"/>
  <c r="E8" i="2"/>
  <c r="E9" i="2"/>
  <c r="E10" i="2"/>
  <c r="E11" i="2"/>
  <c r="E12" i="2"/>
  <c r="E13" i="2"/>
  <c r="E14" i="2"/>
  <c r="E15" i="2"/>
  <c r="E16" i="2"/>
  <c r="E17" i="2"/>
  <c r="D11" i="2"/>
  <c r="D7" i="2"/>
  <c r="C17" i="2" l="1"/>
  <c r="C18" i="2"/>
  <c r="F7" i="2"/>
  <c r="B31" i="2"/>
  <c r="B32" i="2"/>
  <c r="B33" i="2"/>
  <c r="B34" i="2"/>
  <c r="B35" i="2"/>
  <c r="B30" i="2"/>
  <c r="D29" i="2"/>
  <c r="E33" i="2" s="1"/>
  <c r="E32" i="2" l="1"/>
  <c r="E31" i="2"/>
  <c r="E35" i="2"/>
  <c r="E34" i="2"/>
  <c r="E30" i="2"/>
  <c r="C24" i="1"/>
  <c r="B32" i="3" l="1"/>
  <c r="C26" i="3"/>
  <c r="B26" i="3"/>
  <c r="E22" i="1"/>
  <c r="F22" i="1"/>
  <c r="D8" i="1"/>
  <c r="C8" i="3"/>
  <c r="C7" i="3"/>
  <c r="C6" i="3"/>
  <c r="F30" i="2" l="1"/>
  <c r="B8" i="2" l="1"/>
  <c r="B9" i="2"/>
  <c r="B10" i="2"/>
  <c r="B11" i="2"/>
  <c r="B12" i="2"/>
  <c r="B13" i="2"/>
  <c r="B15" i="2"/>
  <c r="B16" i="2"/>
  <c r="C11" i="1"/>
  <c r="E11" i="1" s="1"/>
  <c r="B36" i="2" l="1"/>
  <c r="E23" i="3"/>
  <c r="D5" i="3"/>
  <c r="B12" i="3" l="1"/>
  <c r="C32" i="3"/>
  <c r="C10" i="1"/>
  <c r="D32" i="3" l="1"/>
  <c r="B35" i="3"/>
  <c r="F9" i="1"/>
  <c r="F8" i="1"/>
  <c r="F21" i="1"/>
  <c r="B7" i="2" l="1"/>
  <c r="G8" i="2"/>
  <c r="C14" i="2"/>
  <c r="G10" i="2"/>
  <c r="G11" i="2"/>
  <c r="G12" i="2"/>
  <c r="G13" i="2"/>
  <c r="G15" i="2"/>
  <c r="G16" i="2"/>
  <c r="G14" i="2" l="1"/>
  <c r="B14" i="2"/>
  <c r="C35" i="3"/>
  <c r="B25" i="3"/>
  <c r="C12" i="3" l="1"/>
  <c r="E12" i="3" s="1"/>
  <c r="C37" i="3"/>
  <c r="B17" i="2" l="1"/>
  <c r="F16" i="2"/>
  <c r="E24" i="3"/>
  <c r="D23" i="3"/>
  <c r="D24" i="3"/>
  <c r="C25" i="3"/>
  <c r="B18" i="2" l="1"/>
  <c r="G17" i="2"/>
  <c r="F17" i="2"/>
  <c r="C36" i="2"/>
  <c r="E8" i="1"/>
  <c r="E6" i="3" l="1"/>
  <c r="E7" i="3"/>
  <c r="E8" i="3"/>
  <c r="E9" i="3"/>
  <c r="E10" i="3"/>
  <c r="E5" i="3"/>
  <c r="E11" i="3"/>
  <c r="F10" i="2"/>
  <c r="F11" i="2"/>
  <c r="F12" i="2"/>
  <c r="F13" i="2"/>
  <c r="F14" i="2"/>
  <c r="F15" i="2"/>
  <c r="G33" i="2"/>
  <c r="G31" i="2"/>
  <c r="F24" i="1"/>
  <c r="E24" i="1"/>
  <c r="E21" i="1"/>
  <c r="F11" i="1"/>
  <c r="F10" i="1"/>
  <c r="E10" i="1"/>
  <c r="E9" i="1"/>
  <c r="D26" i="3" l="1"/>
  <c r="E26" i="3"/>
  <c r="D28" i="3"/>
  <c r="E28" i="3"/>
  <c r="D29" i="3"/>
  <c r="E29" i="3"/>
  <c r="D30" i="3"/>
  <c r="E30" i="3"/>
  <c r="D31" i="3"/>
  <c r="D33" i="3"/>
  <c r="D34" i="3"/>
  <c r="E34" i="3"/>
  <c r="D36" i="3"/>
  <c r="E25" i="3"/>
  <c r="D25" i="3"/>
  <c r="D6" i="3" l="1"/>
  <c r="D7" i="3"/>
  <c r="D8" i="3"/>
  <c r="D9" i="3"/>
  <c r="D10" i="3"/>
  <c r="D11" i="3"/>
  <c r="D12" i="3" l="1"/>
  <c r="F34" i="2" l="1"/>
  <c r="F33" i="2"/>
  <c r="G35" i="2"/>
  <c r="G34" i="2" l="1"/>
  <c r="G30" i="2"/>
  <c r="F31" i="2"/>
  <c r="F35" i="2"/>
  <c r="F32" i="2"/>
  <c r="G32" i="2"/>
  <c r="F8" i="2" l="1"/>
  <c r="E36" i="2"/>
  <c r="G36" i="2" s="1"/>
  <c r="F36" i="2" l="1"/>
  <c r="E32" i="3" l="1"/>
  <c r="D35" i="3"/>
  <c r="B37" i="3" l="1"/>
  <c r="E35" i="3"/>
  <c r="E37" i="3" l="1"/>
  <c r="D37" i="3"/>
  <c r="D18" i="2" l="1"/>
  <c r="E18" i="2"/>
  <c r="G18" i="2" s="1"/>
  <c r="F9" i="2"/>
  <c r="F18" i="2" s="1"/>
</calcChain>
</file>

<file path=xl/sharedStrings.xml><?xml version="1.0" encoding="utf-8"?>
<sst xmlns="http://schemas.openxmlformats.org/spreadsheetml/2006/main" count="125" uniqueCount="83">
  <si>
    <t>%</t>
  </si>
  <si>
    <t>1. Ишлаб чикариш курсаткичларини бажарилиши</t>
  </si>
  <si>
    <t>1.1 Тегирмон буйича</t>
  </si>
  <si>
    <t>Масулот номи</t>
  </si>
  <si>
    <t>Улчов бирлиги</t>
  </si>
  <si>
    <t>Режа</t>
  </si>
  <si>
    <t>Амалда</t>
  </si>
  <si>
    <t>Фарки</t>
  </si>
  <si>
    <t>(+   -)</t>
  </si>
  <si>
    <t>Донни  кайта ишлаш</t>
  </si>
  <si>
    <t>Жами ишлаб чикарилган махсулот</t>
  </si>
  <si>
    <t>Бугдой кепаги</t>
  </si>
  <si>
    <t>Жорий нархларда махсулот ишлаб чикариш</t>
  </si>
  <si>
    <t>минг сумда</t>
  </si>
  <si>
    <t>1.2 Омухта ем цехи буйича</t>
  </si>
  <si>
    <t>Омухта-ем аралашмаси ишлаб чикариш хажми</t>
  </si>
  <si>
    <t>2. Хисоб китобларни бажариш</t>
  </si>
  <si>
    <t>2.1 Ун ишлаб чикариш</t>
  </si>
  <si>
    <t>Харажатлар номи</t>
  </si>
  <si>
    <t>Бизнес – режа буйича</t>
  </si>
  <si>
    <t>Хакикатда</t>
  </si>
  <si>
    <t xml:space="preserve"> 1 тн учун (сум)</t>
  </si>
  <si>
    <t>Ташки ташкилотлар фаолияти ва хизматлари</t>
  </si>
  <si>
    <t>Ёкилги</t>
  </si>
  <si>
    <t xml:space="preserve">Электро энергия </t>
  </si>
  <si>
    <t>Сув</t>
  </si>
  <si>
    <t>Ягона ижтимоий тулови</t>
  </si>
  <si>
    <t>Асосий воситаларнинг амортизацияси</t>
  </si>
  <si>
    <t>Жами ишлаб чикариш киймати</t>
  </si>
  <si>
    <t>2. 2 Омухта ем ишлаб чикариш</t>
  </si>
  <si>
    <t>Ишлаб чикариш харажатларини тахлил килиш</t>
  </si>
  <si>
    <t>Электроэнергия</t>
  </si>
  <si>
    <t>Амортизация</t>
  </si>
  <si>
    <t>Мехнатга хак тулаш</t>
  </si>
  <si>
    <t>Умумий ишлаб чикариш харажатлари</t>
  </si>
  <si>
    <t>Бошка харажатлар</t>
  </si>
  <si>
    <t>Жами ишлаб чикариш харажатлари</t>
  </si>
  <si>
    <t xml:space="preserve">  2.3  Маъмурий бошкарув ходимларига кетган харажатлар.</t>
  </si>
  <si>
    <t>Бизнес – режа</t>
  </si>
  <si>
    <t>Ягона ижтимоий тулов</t>
  </si>
  <si>
    <t>Уяли алока хизматлари</t>
  </si>
  <si>
    <t>Электр энер. газ, сув,</t>
  </si>
  <si>
    <t>Жами</t>
  </si>
  <si>
    <t xml:space="preserve">Харажатлар номи </t>
  </si>
  <si>
    <t>Махсулотларни сотишнинг ялпи фойдаси</t>
  </si>
  <si>
    <t>Давр харажатлари, жами</t>
  </si>
  <si>
    <t>Сотиш харажатлари</t>
  </si>
  <si>
    <t>Маъмурий харажатлар</t>
  </si>
  <si>
    <t>Бошка операцион харажатлар</t>
  </si>
  <si>
    <t>Асосий фаолиятнинг фойдаси</t>
  </si>
  <si>
    <t xml:space="preserve">Молиявий фаолиятнинг  даромадлари </t>
  </si>
  <si>
    <t>Молиявий фаолият буйича харажатлар</t>
  </si>
  <si>
    <t>Фойда солигини тулагунга кадар фойда</t>
  </si>
  <si>
    <t>Фойда солиги</t>
  </si>
  <si>
    <t>Соф фойда</t>
  </si>
  <si>
    <t>Иктисод булими бошлиги</t>
  </si>
  <si>
    <t>Калькуляция килинадиган махсулотлар хажми</t>
  </si>
  <si>
    <t>Кадоклаш харажатлари</t>
  </si>
  <si>
    <t>шу жумладан</t>
  </si>
  <si>
    <t>Асосий фойданинг бошка даромадлари</t>
  </si>
  <si>
    <t xml:space="preserve">Хом-ашё ва материаллар </t>
  </si>
  <si>
    <t>( +   -)</t>
  </si>
  <si>
    <t>А.Холхўжаев</t>
  </si>
  <si>
    <t>Жами (минг сумда)</t>
  </si>
  <si>
    <t>3.Молиявий натижаларар (Форма-2) режасини амалга ошириш</t>
  </si>
  <si>
    <t>Сотилган махсулот (товар, иш, хизмат) ларнинг    танархи</t>
  </si>
  <si>
    <t xml:space="preserve">Махсулот (товар, иш, хизмат) ларни сотишдан соф тушум </t>
  </si>
  <si>
    <t>Бошқа харажатлар (17счет)</t>
  </si>
  <si>
    <t>Жами                     (минг сумда)</t>
  </si>
  <si>
    <t xml:space="preserve">Материал ва инвентарлар </t>
  </si>
  <si>
    <t>Хизмат автомашиналарини саклаш харажатлари</t>
  </si>
  <si>
    <t>«G'alla-Alteg»  АЖда 2024 йил  II-чорак якуни буйича «Бизнес – режа » тахлили</t>
  </si>
  <si>
    <t>Кепак махсулоти</t>
  </si>
  <si>
    <t>тонна</t>
  </si>
  <si>
    <t xml:space="preserve">Жорий нархларда товарлар ишлаб чикариш хажми </t>
  </si>
  <si>
    <t xml:space="preserve">      Бозор талабидан келиб чикиб корхонада  дон махсулотини кайта ишлашда  олинган оралик махсулот омухта ем хом ашёси сифатида биржа савдоларига чикарилмокда бу оркали сотувга чикарилган махсулот сарф харажатлари иктисод килинади. </t>
  </si>
  <si>
    <t xml:space="preserve">      Амалда ишлаб чикариш хажми "Бизнес - режа" буйича белгиланган топширикка нисбатан  71,5%  бажарилди.</t>
  </si>
  <si>
    <t xml:space="preserve">           Молиявий натижа   -10712142 минг. сум зарар билан якунланди. Бизнес режа кўрсаткичларини амалда бажарилмаслигини асосий сабабларидан бири махсулот  ишлаб чиқариш хажми пасай-ганлиги билан боғлиқ.  </t>
  </si>
  <si>
    <t xml:space="preserve">            Харажатлар сметаси режага нисбатан 66 %  ошикча сарфланди бунинг сабаби корхонада махсулот ишлаб чикариш режаси бажарилмаганлиги  билан боглик.</t>
  </si>
  <si>
    <t xml:space="preserve">            Харажатлар сметаси режага нисбатан  113,4 %ни ташкил қилди. Сарф харажатлар ошиб кетиши нарх наво ошганлиги сабабли</t>
  </si>
  <si>
    <r>
      <t xml:space="preserve">     </t>
    </r>
    <r>
      <rPr>
        <b/>
        <sz val="12"/>
        <rFont val="Arial"/>
        <family val="2"/>
        <charset val="204"/>
      </rPr>
      <t xml:space="preserve">     </t>
    </r>
    <r>
      <rPr>
        <sz val="12"/>
        <rFont val="Arial"/>
        <family val="2"/>
        <charset val="204"/>
      </rPr>
      <t xml:space="preserve"> Харажатлар сметаси режага нисбатан 257,4 %ни ташкил қилди, cарф харажатлар ошиб кетиши сабаби               нарх наво ошганлиги сабабли</t>
    </r>
  </si>
  <si>
    <t xml:space="preserve">      Амалда ишлаб чикариш хажми "Бизнес - режа" буйича белгиланган топширикка нисбатан  103,1%  бажарилди.</t>
  </si>
  <si>
    <t>Жами: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</si>
</sst>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#,##0.0"/>
    <numFmt numFmtId="166" formatCode="0.000"/>
    <numFmt numFmtId="167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theme="0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14" fillId="0" borderId="0"/>
  </cellStyleXfs>
  <cellXfs count="103">
    <xf numFmtId="0" fontId="0" fillId="0" borderId="0" xfId="0"/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0" fontId="9" fillId="0" borderId="0" xfId="0" applyFont="1" applyFill="1" applyBorder="1"/>
    <xf numFmtId="4" fontId="9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164" fontId="6" fillId="0" borderId="0" xfId="0" applyNumberFormat="1" applyFont="1" applyFill="1" applyBorder="1"/>
    <xf numFmtId="0" fontId="7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/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9" fillId="0" borderId="1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14" fillId="0" borderId="12" xfId="5" applyNumberFormat="1" applyFont="1" applyFill="1" applyBorder="1" applyAlignment="1">
      <alignment horizontal="right" vertical="top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4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/>
    <xf numFmtId="3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5" fillId="0" borderId="0" xfId="0" applyFont="1" applyFill="1"/>
    <xf numFmtId="3" fontId="2" fillId="0" borderId="0" xfId="0" applyNumberFormat="1" applyFont="1" applyFill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16" fillId="0" borderId="0" xfId="0" applyFont="1" applyFill="1" applyAlignment="1">
      <alignment horizontal="justify"/>
    </xf>
    <xf numFmtId="0" fontId="16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1"/>
    <cellStyle name="Обычный 47 2" xfId="3"/>
    <cellStyle name="Обычный_Лист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9" zoomScaleNormal="100" zoomScaleSheetLayoutView="80" workbookViewId="0">
      <selection activeCell="F24" sqref="F24"/>
    </sheetView>
  </sheetViews>
  <sheetFormatPr defaultColWidth="9.109375" defaultRowHeight="14.4" x14ac:dyDescent="0.3"/>
  <cols>
    <col min="1" max="1" width="34.33203125" style="65" customWidth="1"/>
    <col min="2" max="2" width="11.5546875" style="65" customWidth="1"/>
    <col min="3" max="3" width="16.77734375" style="65" bestFit="1" customWidth="1"/>
    <col min="4" max="4" width="16.6640625" style="65" customWidth="1"/>
    <col min="5" max="5" width="17.6640625" style="65" bestFit="1" customWidth="1"/>
    <col min="6" max="6" width="10.33203125" style="65" customWidth="1"/>
    <col min="7" max="7" width="9.109375" style="65"/>
    <col min="8" max="8" width="10.109375" style="65" bestFit="1" customWidth="1"/>
    <col min="9" max="9" width="9.109375" style="65"/>
    <col min="10" max="10" width="10.109375" style="65" bestFit="1" customWidth="1"/>
    <col min="11" max="16384" width="9.109375" style="65"/>
  </cols>
  <sheetData>
    <row r="1" spans="1:10" ht="15.6" x14ac:dyDescent="0.3">
      <c r="A1" s="75" t="s">
        <v>71</v>
      </c>
      <c r="B1" s="75"/>
      <c r="C1" s="75"/>
      <c r="D1" s="75"/>
      <c r="E1" s="75"/>
      <c r="F1" s="75"/>
    </row>
    <row r="2" spans="1:10" ht="15.6" x14ac:dyDescent="0.3">
      <c r="A2" s="75" t="s">
        <v>1</v>
      </c>
      <c r="B2" s="75"/>
      <c r="C2" s="75"/>
      <c r="D2" s="75"/>
      <c r="E2" s="75"/>
      <c r="F2" s="75"/>
    </row>
    <row r="3" spans="1:10" ht="15.6" x14ac:dyDescent="0.3">
      <c r="A3" s="75" t="s">
        <v>2</v>
      </c>
      <c r="B3" s="75"/>
      <c r="C3" s="75"/>
      <c r="D3" s="75"/>
      <c r="E3" s="75"/>
      <c r="F3" s="75"/>
    </row>
    <row r="4" spans="1:10" ht="15.6" x14ac:dyDescent="0.3">
      <c r="A4" s="75"/>
      <c r="B4" s="75"/>
      <c r="C4" s="75"/>
      <c r="D4" s="75"/>
      <c r="E4" s="75"/>
      <c r="F4" s="75"/>
    </row>
    <row r="5" spans="1:10" ht="15.6" x14ac:dyDescent="0.3">
      <c r="A5" s="81"/>
      <c r="B5" s="81"/>
      <c r="C5" s="81"/>
      <c r="D5" s="81"/>
      <c r="E5" s="81"/>
      <c r="F5" s="81"/>
    </row>
    <row r="6" spans="1:10" ht="20.25" customHeight="1" x14ac:dyDescent="0.3">
      <c r="A6" s="79" t="s">
        <v>3</v>
      </c>
      <c r="B6" s="79" t="s">
        <v>4</v>
      </c>
      <c r="C6" s="79" t="s">
        <v>5</v>
      </c>
      <c r="D6" s="79" t="s">
        <v>6</v>
      </c>
      <c r="E6" s="76" t="s">
        <v>7</v>
      </c>
      <c r="F6" s="77"/>
    </row>
    <row r="7" spans="1:10" ht="20.25" customHeight="1" x14ac:dyDescent="0.3">
      <c r="A7" s="80"/>
      <c r="B7" s="80"/>
      <c r="C7" s="80"/>
      <c r="D7" s="80"/>
      <c r="E7" s="39" t="s">
        <v>8</v>
      </c>
      <c r="F7" s="39" t="s">
        <v>0</v>
      </c>
    </row>
    <row r="8" spans="1:10" ht="37.5" customHeight="1" x14ac:dyDescent="0.3">
      <c r="A8" s="7" t="s">
        <v>9</v>
      </c>
      <c r="B8" s="52" t="s">
        <v>73</v>
      </c>
      <c r="C8" s="53">
        <v>13333</v>
      </c>
      <c r="D8" s="54">
        <f>D9*1.33333</f>
        <v>9534.6428299999989</v>
      </c>
      <c r="E8" s="53">
        <f>D8-C8</f>
        <v>-3798.3571700000011</v>
      </c>
      <c r="F8" s="54">
        <f>D8/C8*100</f>
        <v>71.511609015225375</v>
      </c>
    </row>
    <row r="9" spans="1:10" ht="37.5" customHeight="1" x14ac:dyDescent="0.3">
      <c r="A9" s="9" t="s">
        <v>10</v>
      </c>
      <c r="B9" s="52" t="s">
        <v>73</v>
      </c>
      <c r="C9" s="55">
        <v>10000</v>
      </c>
      <c r="D9" s="56">
        <v>7151</v>
      </c>
      <c r="E9" s="55">
        <f>D9-C9</f>
        <v>-2849</v>
      </c>
      <c r="F9" s="57">
        <f>D9/C9*100</f>
        <v>71.509999999999991</v>
      </c>
    </row>
    <row r="10" spans="1:10" ht="37.5" customHeight="1" x14ac:dyDescent="0.3">
      <c r="A10" s="7" t="s">
        <v>11</v>
      </c>
      <c r="B10" s="52" t="s">
        <v>73</v>
      </c>
      <c r="C10" s="53">
        <f>C8*0.21</f>
        <v>2799.93</v>
      </c>
      <c r="D10" s="53">
        <v>2082</v>
      </c>
      <c r="E10" s="53">
        <f>D10-C10</f>
        <v>-717.92999999999984</v>
      </c>
      <c r="F10" s="54">
        <f>D10/C10*100</f>
        <v>74.359001832188667</v>
      </c>
    </row>
    <row r="11" spans="1:10" ht="37.5" customHeight="1" x14ac:dyDescent="0.3">
      <c r="A11" s="3" t="s">
        <v>12</v>
      </c>
      <c r="B11" s="52" t="s">
        <v>13</v>
      </c>
      <c r="C11" s="53">
        <f>(4120/1.12*10000)+(2800*2000/1.12)</f>
        <v>41785714.285714284</v>
      </c>
      <c r="D11" s="53">
        <v>29796591.249999996</v>
      </c>
      <c r="E11" s="53">
        <f>D11-C11</f>
        <v>-11989123.035714287</v>
      </c>
      <c r="F11" s="54">
        <f>D11/C11*100</f>
        <v>71.308081623931614</v>
      </c>
    </row>
    <row r="12" spans="1:10" x14ac:dyDescent="0.3">
      <c r="A12" s="66"/>
      <c r="B12" s="67"/>
      <c r="C12" s="67"/>
      <c r="D12" s="68"/>
      <c r="E12" s="67"/>
      <c r="F12" s="67"/>
    </row>
    <row r="13" spans="1:10" ht="37.5" customHeight="1" x14ac:dyDescent="0.3">
      <c r="A13" s="74" t="s">
        <v>76</v>
      </c>
      <c r="B13" s="74"/>
      <c r="C13" s="74"/>
      <c r="D13" s="74"/>
      <c r="E13" s="74"/>
      <c r="F13" s="74"/>
    </row>
    <row r="14" spans="1:10" ht="15.6" x14ac:dyDescent="0.3">
      <c r="A14" s="58"/>
      <c r="B14" s="58"/>
      <c r="C14" s="58"/>
      <c r="D14" s="58"/>
      <c r="E14" s="58"/>
      <c r="F14" s="58"/>
      <c r="H14" s="69"/>
    </row>
    <row r="15" spans="1:10" ht="15.6" x14ac:dyDescent="0.3">
      <c r="A15" s="58"/>
      <c r="B15" s="58"/>
      <c r="D15" s="58"/>
      <c r="E15" s="58"/>
      <c r="F15" s="58"/>
      <c r="J15" s="70"/>
    </row>
    <row r="16" spans="1:10" ht="15" x14ac:dyDescent="0.3">
      <c r="A16" s="59"/>
      <c r="B16" s="59"/>
      <c r="C16" s="59"/>
      <c r="D16" s="59"/>
      <c r="E16" s="59"/>
      <c r="F16" s="59"/>
    </row>
    <row r="17" spans="1:6" ht="15.6" x14ac:dyDescent="0.3">
      <c r="A17" s="75" t="s">
        <v>14</v>
      </c>
      <c r="B17" s="75"/>
      <c r="C17" s="75"/>
      <c r="D17" s="75"/>
      <c r="E17" s="75"/>
      <c r="F17" s="75"/>
    </row>
    <row r="18" spans="1:6" ht="15.6" x14ac:dyDescent="0.3">
      <c r="A18" s="60"/>
      <c r="B18" s="60"/>
      <c r="C18" s="60"/>
      <c r="D18" s="60"/>
      <c r="E18" s="60"/>
      <c r="F18" s="60"/>
    </row>
    <row r="19" spans="1:6" ht="18.75" customHeight="1" x14ac:dyDescent="0.3">
      <c r="A19" s="79" t="s">
        <v>3</v>
      </c>
      <c r="B19" s="79" t="s">
        <v>4</v>
      </c>
      <c r="C19" s="79" t="s">
        <v>5</v>
      </c>
      <c r="D19" s="79" t="s">
        <v>6</v>
      </c>
      <c r="E19" s="76" t="s">
        <v>7</v>
      </c>
      <c r="F19" s="77"/>
    </row>
    <row r="20" spans="1:6" ht="18.75" customHeight="1" x14ac:dyDescent="0.3">
      <c r="A20" s="80"/>
      <c r="B20" s="80"/>
      <c r="C20" s="80"/>
      <c r="D20" s="80"/>
      <c r="E20" s="39" t="s">
        <v>8</v>
      </c>
      <c r="F20" s="39" t="s">
        <v>0</v>
      </c>
    </row>
    <row r="21" spans="1:6" ht="47.4" customHeight="1" x14ac:dyDescent="0.3">
      <c r="A21" s="3" t="s">
        <v>15</v>
      </c>
      <c r="B21" s="52" t="s">
        <v>73</v>
      </c>
      <c r="C21" s="53">
        <v>1400</v>
      </c>
      <c r="D21" s="61">
        <v>805</v>
      </c>
      <c r="E21" s="53">
        <f>D21-C21</f>
        <v>-595</v>
      </c>
      <c r="F21" s="62">
        <f>D21/C21*100</f>
        <v>57.499999999999993</v>
      </c>
    </row>
    <row r="22" spans="1:6" ht="47.4" customHeight="1" x14ac:dyDescent="0.3">
      <c r="A22" s="3" t="s">
        <v>72</v>
      </c>
      <c r="B22" s="52" t="s">
        <v>73</v>
      </c>
      <c r="C22" s="63">
        <v>1400</v>
      </c>
      <c r="D22" s="64">
        <v>2082</v>
      </c>
      <c r="E22" s="53">
        <f>D22-C22</f>
        <v>682</v>
      </c>
      <c r="F22" s="62">
        <f>D22/C22*100</f>
        <v>148.71428571428572</v>
      </c>
    </row>
    <row r="23" spans="1:6" ht="47.4" customHeight="1" x14ac:dyDescent="0.3">
      <c r="A23" s="3" t="s">
        <v>82</v>
      </c>
      <c r="B23" s="52" t="s">
        <v>73</v>
      </c>
      <c r="C23" s="64">
        <v>2800</v>
      </c>
      <c r="D23" s="61">
        <f>D22+D21</f>
        <v>2887</v>
      </c>
      <c r="E23" s="61">
        <f>E22+E21</f>
        <v>87</v>
      </c>
      <c r="F23" s="62">
        <f>103.1</f>
        <v>103.1</v>
      </c>
    </row>
    <row r="24" spans="1:6" ht="47.4" customHeight="1" x14ac:dyDescent="0.3">
      <c r="A24" s="3" t="s">
        <v>74</v>
      </c>
      <c r="B24" s="52" t="s">
        <v>13</v>
      </c>
      <c r="C24" s="61">
        <f>10120360/2</f>
        <v>5060180</v>
      </c>
      <c r="D24" s="61">
        <v>4740313</v>
      </c>
      <c r="E24" s="53">
        <f>D24-C24</f>
        <v>-319867</v>
      </c>
      <c r="F24" s="62">
        <f>D24/C24*100</f>
        <v>93.678742653423399</v>
      </c>
    </row>
    <row r="25" spans="1:6" x14ac:dyDescent="0.3">
      <c r="A25" s="71"/>
      <c r="B25" s="71"/>
      <c r="C25" s="72"/>
      <c r="D25" s="72"/>
      <c r="E25" s="71"/>
      <c r="F25" s="71"/>
    </row>
    <row r="26" spans="1:6" x14ac:dyDescent="0.3">
      <c r="A26" s="73"/>
      <c r="B26" s="73"/>
      <c r="C26" s="73"/>
      <c r="D26" s="73"/>
      <c r="E26" s="73"/>
      <c r="F26" s="73"/>
    </row>
    <row r="27" spans="1:6" x14ac:dyDescent="0.3">
      <c r="A27" s="73"/>
      <c r="B27" s="73"/>
      <c r="C27" s="73"/>
      <c r="D27" s="73"/>
      <c r="E27" s="73"/>
      <c r="F27" s="73"/>
    </row>
    <row r="28" spans="1:6" ht="34.799999999999997" customHeight="1" x14ac:dyDescent="0.3">
      <c r="A28" s="74" t="s">
        <v>81</v>
      </c>
      <c r="B28" s="74"/>
      <c r="C28" s="74"/>
      <c r="D28" s="74"/>
      <c r="E28" s="74"/>
      <c r="F28" s="74"/>
    </row>
    <row r="29" spans="1:6" ht="49.5" customHeight="1" x14ac:dyDescent="0.3">
      <c r="A29" s="74" t="s">
        <v>75</v>
      </c>
      <c r="B29" s="74"/>
      <c r="C29" s="74"/>
      <c r="D29" s="74"/>
      <c r="E29" s="74"/>
      <c r="F29" s="74"/>
    </row>
    <row r="30" spans="1:6" x14ac:dyDescent="0.3">
      <c r="A30" s="78"/>
      <c r="B30" s="78"/>
      <c r="C30" s="78"/>
      <c r="D30" s="78"/>
      <c r="E30" s="78"/>
      <c r="F30" s="78"/>
    </row>
    <row r="31" spans="1:6" ht="15.6" x14ac:dyDescent="0.3">
      <c r="A31" s="60"/>
      <c r="B31" s="60"/>
      <c r="C31" s="60"/>
      <c r="D31" s="60"/>
      <c r="E31" s="60"/>
      <c r="F31" s="60"/>
    </row>
  </sheetData>
  <mergeCells count="20">
    <mergeCell ref="E6:F6"/>
    <mergeCell ref="A1:F1"/>
    <mergeCell ref="A3:F3"/>
    <mergeCell ref="A4:F4"/>
    <mergeCell ref="A5:F5"/>
    <mergeCell ref="A2:F2"/>
    <mergeCell ref="A6:A7"/>
    <mergeCell ref="B6:B7"/>
    <mergeCell ref="C6:C7"/>
    <mergeCell ref="D6:D7"/>
    <mergeCell ref="A13:F13"/>
    <mergeCell ref="A17:F17"/>
    <mergeCell ref="E19:F19"/>
    <mergeCell ref="A29:F29"/>
    <mergeCell ref="A30:F30"/>
    <mergeCell ref="A19:A20"/>
    <mergeCell ref="B19:B20"/>
    <mergeCell ref="C19:C20"/>
    <mergeCell ref="D19:D20"/>
    <mergeCell ref="A28:F2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3" zoomScaleNormal="100" zoomScaleSheetLayoutView="83" workbookViewId="0">
      <selection activeCell="A39" sqref="A39:XFD39"/>
    </sheetView>
  </sheetViews>
  <sheetFormatPr defaultColWidth="9.109375" defaultRowHeight="13.8" x14ac:dyDescent="0.25"/>
  <cols>
    <col min="1" max="1" width="38.33203125" style="1" customWidth="1"/>
    <col min="2" max="3" width="14.5546875" style="1" customWidth="1"/>
    <col min="4" max="4" width="14.6640625" style="1" customWidth="1"/>
    <col min="5" max="5" width="14.5546875" style="1" customWidth="1"/>
    <col min="6" max="6" width="12.5546875" style="1" bestFit="1" customWidth="1"/>
    <col min="7" max="7" width="9.88671875" style="1" bestFit="1" customWidth="1"/>
    <col min="8" max="8" width="19.6640625" style="1" customWidth="1"/>
    <col min="9" max="9" width="28.44140625" style="1" customWidth="1"/>
    <col min="10" max="16384" width="9.109375" style="1"/>
  </cols>
  <sheetData>
    <row r="1" spans="1:8" x14ac:dyDescent="0.25">
      <c r="A1" s="96" t="s">
        <v>16</v>
      </c>
      <c r="B1" s="96"/>
      <c r="C1" s="96"/>
      <c r="D1" s="96"/>
      <c r="E1" s="96"/>
      <c r="F1" s="96"/>
      <c r="G1" s="96"/>
    </row>
    <row r="2" spans="1:8" x14ac:dyDescent="0.25">
      <c r="A2" s="96" t="s">
        <v>17</v>
      </c>
      <c r="B2" s="96"/>
      <c r="C2" s="96"/>
      <c r="D2" s="96"/>
      <c r="E2" s="96"/>
      <c r="F2" s="96"/>
      <c r="G2" s="96"/>
    </row>
    <row r="4" spans="1:8" ht="22.5" customHeight="1" x14ac:dyDescent="0.25">
      <c r="A4" s="79" t="s">
        <v>18</v>
      </c>
      <c r="B4" s="85" t="s">
        <v>19</v>
      </c>
      <c r="C4" s="85"/>
      <c r="D4" s="86" t="s">
        <v>20</v>
      </c>
      <c r="E4" s="87"/>
      <c r="F4" s="97" t="s">
        <v>7</v>
      </c>
      <c r="G4" s="97"/>
    </row>
    <row r="5" spans="1:8" ht="27.6" x14ac:dyDescent="0.25">
      <c r="A5" s="80"/>
      <c r="B5" s="2" t="s">
        <v>68</v>
      </c>
      <c r="C5" s="2" t="s">
        <v>21</v>
      </c>
      <c r="D5" s="2" t="s">
        <v>68</v>
      </c>
      <c r="E5" s="2" t="s">
        <v>21</v>
      </c>
      <c r="F5" s="97"/>
      <c r="G5" s="97"/>
    </row>
    <row r="6" spans="1:8" ht="43.5" customHeight="1" x14ac:dyDescent="0.25">
      <c r="A6" s="3" t="s">
        <v>56</v>
      </c>
      <c r="B6" s="82">
        <v>10000</v>
      </c>
      <c r="C6" s="83"/>
      <c r="D6" s="82">
        <v>7151</v>
      </c>
      <c r="E6" s="83"/>
      <c r="F6" s="32" t="s">
        <v>61</v>
      </c>
      <c r="G6" s="2" t="s">
        <v>0</v>
      </c>
      <c r="H6" s="33"/>
    </row>
    <row r="7" spans="1:8" ht="23.25" customHeight="1" x14ac:dyDescent="0.25">
      <c r="A7" s="4" t="s">
        <v>60</v>
      </c>
      <c r="B7" s="5">
        <f>C7*10</f>
        <v>30168750</v>
      </c>
      <c r="C7" s="5">
        <f>(3050000/1.12)*1.33-605000</f>
        <v>3016875</v>
      </c>
      <c r="D7" s="5">
        <f>25290734-4324832</f>
        <v>20965902</v>
      </c>
      <c r="E7" s="5">
        <f>D7/$D$6*1000</f>
        <v>2931883.9323171582</v>
      </c>
      <c r="F7" s="5">
        <f>E7-C7</f>
        <v>-84991.067682841793</v>
      </c>
      <c r="G7" s="6">
        <f>E7/C7*100</f>
        <v>97.182811098144867</v>
      </c>
      <c r="H7" s="42"/>
    </row>
    <row r="8" spans="1:8" ht="23.25" customHeight="1" x14ac:dyDescent="0.25">
      <c r="A8" s="3" t="s">
        <v>57</v>
      </c>
      <c r="B8" s="5">
        <f t="shared" ref="B8:B17" si="0">C8*10</f>
        <v>109800</v>
      </c>
      <c r="C8" s="5">
        <v>10980</v>
      </c>
      <c r="D8" s="5">
        <v>27851.7</v>
      </c>
      <c r="E8" s="5">
        <f t="shared" ref="E8:E17" si="1">D8/$D$6*1000</f>
        <v>3894.7979303593906</v>
      </c>
      <c r="F8" s="5">
        <f t="shared" ref="F8:F16" si="2">E8-C8</f>
        <v>-7085.2020696406089</v>
      </c>
      <c r="G8" s="6">
        <f t="shared" ref="G8:G17" si="3">E8/C8*100</f>
        <v>35.471747999630153</v>
      </c>
      <c r="H8" s="30"/>
    </row>
    <row r="9" spans="1:8" ht="34.5" customHeight="1" x14ac:dyDescent="0.25">
      <c r="A9" s="3" t="s">
        <v>22</v>
      </c>
      <c r="B9" s="5">
        <f t="shared" si="0"/>
        <v>0</v>
      </c>
      <c r="C9" s="5">
        <v>0</v>
      </c>
      <c r="D9" s="5">
        <v>0</v>
      </c>
      <c r="E9" s="5">
        <f t="shared" si="1"/>
        <v>0</v>
      </c>
      <c r="F9" s="5">
        <f t="shared" si="2"/>
        <v>0</v>
      </c>
      <c r="G9" s="6">
        <v>0</v>
      </c>
      <c r="H9" s="30"/>
    </row>
    <row r="10" spans="1:8" ht="23.25" customHeight="1" x14ac:dyDescent="0.25">
      <c r="A10" s="3" t="s">
        <v>23</v>
      </c>
      <c r="B10" s="5">
        <f t="shared" si="0"/>
        <v>22430</v>
      </c>
      <c r="C10" s="5">
        <v>2243</v>
      </c>
      <c r="D10" s="5">
        <v>97641</v>
      </c>
      <c r="E10" s="5">
        <f t="shared" si="1"/>
        <v>13654.174241364844</v>
      </c>
      <c r="F10" s="5">
        <f t="shared" si="2"/>
        <v>11411.174241364844</v>
      </c>
      <c r="G10" s="6">
        <f t="shared" si="3"/>
        <v>608.74606515224446</v>
      </c>
      <c r="H10" s="30"/>
    </row>
    <row r="11" spans="1:8" ht="23.25" customHeight="1" x14ac:dyDescent="0.25">
      <c r="A11" s="3" t="s">
        <v>24</v>
      </c>
      <c r="B11" s="5">
        <f t="shared" si="0"/>
        <v>390840</v>
      </c>
      <c r="C11" s="5">
        <v>39084</v>
      </c>
      <c r="D11" s="5">
        <f>350358+1828482</f>
        <v>2178840</v>
      </c>
      <c r="E11" s="5">
        <f t="shared" si="1"/>
        <v>304690.25311145291</v>
      </c>
      <c r="F11" s="5">
        <f t="shared" si="2"/>
        <v>265606.25311145291</v>
      </c>
      <c r="G11" s="6">
        <f t="shared" si="3"/>
        <v>779.5779682515938</v>
      </c>
      <c r="H11" s="30"/>
    </row>
    <row r="12" spans="1:8" ht="23.25" customHeight="1" x14ac:dyDescent="0.25">
      <c r="A12" s="3" t="s">
        <v>25</v>
      </c>
      <c r="B12" s="5">
        <f t="shared" si="0"/>
        <v>64310</v>
      </c>
      <c r="C12" s="5">
        <v>6431</v>
      </c>
      <c r="D12" s="5">
        <v>349805</v>
      </c>
      <c r="E12" s="5">
        <f t="shared" si="1"/>
        <v>48916.934694448326</v>
      </c>
      <c r="F12" s="5">
        <f t="shared" si="2"/>
        <v>42485.934694448326</v>
      </c>
      <c r="G12" s="6">
        <f t="shared" si="3"/>
        <v>760.64274132247431</v>
      </c>
      <c r="H12" s="30"/>
    </row>
    <row r="13" spans="1:8" ht="23.25" customHeight="1" x14ac:dyDescent="0.25">
      <c r="A13" s="7" t="s">
        <v>33</v>
      </c>
      <c r="B13" s="5">
        <f t="shared" si="0"/>
        <v>769510</v>
      </c>
      <c r="C13" s="5">
        <v>76951</v>
      </c>
      <c r="D13" s="5">
        <v>1806117.8</v>
      </c>
      <c r="E13" s="5">
        <f t="shared" si="1"/>
        <v>252568.56383722558</v>
      </c>
      <c r="F13" s="5">
        <f t="shared" si="2"/>
        <v>175617.56383722558</v>
      </c>
      <c r="G13" s="6">
        <f t="shared" si="3"/>
        <v>328.21998913233818</v>
      </c>
      <c r="H13" s="30"/>
    </row>
    <row r="14" spans="1:8" ht="23.25" customHeight="1" x14ac:dyDescent="0.25">
      <c r="A14" s="3" t="s">
        <v>26</v>
      </c>
      <c r="B14" s="5">
        <f t="shared" si="0"/>
        <v>92341.199999999983</v>
      </c>
      <c r="C14" s="5">
        <f>C13*0.12</f>
        <v>9234.119999999999</v>
      </c>
      <c r="D14" s="5">
        <v>214745.60000000001</v>
      </c>
      <c r="E14" s="5">
        <f t="shared" si="1"/>
        <v>30030.14962942246</v>
      </c>
      <c r="F14" s="5">
        <f t="shared" si="2"/>
        <v>20796.029629422461</v>
      </c>
      <c r="G14" s="6">
        <f t="shared" si="3"/>
        <v>325.20857027440042</v>
      </c>
      <c r="H14" s="30"/>
    </row>
    <row r="15" spans="1:8" ht="23.4" customHeight="1" x14ac:dyDescent="0.25">
      <c r="A15" s="3" t="s">
        <v>27</v>
      </c>
      <c r="B15" s="5">
        <f t="shared" si="0"/>
        <v>135080</v>
      </c>
      <c r="C15" s="5">
        <v>13508</v>
      </c>
      <c r="D15" s="5">
        <v>224271.5</v>
      </c>
      <c r="E15" s="5">
        <f t="shared" si="1"/>
        <v>31362.257026989235</v>
      </c>
      <c r="F15" s="5">
        <f t="shared" si="2"/>
        <v>17854.257026989235</v>
      </c>
      <c r="G15" s="6">
        <f t="shared" si="3"/>
        <v>232.17542957498694</v>
      </c>
      <c r="H15" s="30"/>
    </row>
    <row r="16" spans="1:8" ht="22.8" customHeight="1" x14ac:dyDescent="0.25">
      <c r="A16" s="7" t="s">
        <v>34</v>
      </c>
      <c r="B16" s="5">
        <f t="shared" si="0"/>
        <v>1261420</v>
      </c>
      <c r="C16" s="5">
        <v>126142</v>
      </c>
      <c r="D16" s="5">
        <v>965877.7</v>
      </c>
      <c r="E16" s="5">
        <f t="shared" si="1"/>
        <v>135068.89945462171</v>
      </c>
      <c r="F16" s="5">
        <f t="shared" si="2"/>
        <v>8926.8994546217145</v>
      </c>
      <c r="G16" s="6">
        <f t="shared" si="3"/>
        <v>107.07686532211453</v>
      </c>
      <c r="H16" s="30"/>
    </row>
    <row r="17" spans="1:10" ht="23.25" customHeight="1" x14ac:dyDescent="0.25">
      <c r="A17" s="8" t="s">
        <v>67</v>
      </c>
      <c r="B17" s="5">
        <f t="shared" si="0"/>
        <v>301687.5</v>
      </c>
      <c r="C17" s="5">
        <f>C7/100</f>
        <v>30168.75</v>
      </c>
      <c r="D17" s="5">
        <v>192321.5</v>
      </c>
      <c r="E17" s="5">
        <f t="shared" si="1"/>
        <v>26894.35044049783</v>
      </c>
      <c r="F17" s="5">
        <f t="shared" ref="F17" si="4">E17-C17</f>
        <v>-3274.3995595021697</v>
      </c>
      <c r="G17" s="6">
        <f t="shared" si="3"/>
        <v>89.146386378281605</v>
      </c>
      <c r="H17" s="30"/>
    </row>
    <row r="18" spans="1:10" ht="21" customHeight="1" x14ac:dyDescent="0.25">
      <c r="A18" s="9" t="s">
        <v>28</v>
      </c>
      <c r="B18" s="10">
        <f>SUM(B7:B17)</f>
        <v>33316168.699999999</v>
      </c>
      <c r="C18" s="10">
        <f>SUM(C7:C17)</f>
        <v>3331616.87</v>
      </c>
      <c r="D18" s="10">
        <f>SUM(D7:D17)</f>
        <v>27023373.800000001</v>
      </c>
      <c r="E18" s="10">
        <f>SUM(E7:E17)</f>
        <v>3778964.3126835404</v>
      </c>
      <c r="F18" s="10">
        <f>SUM(F7:F17)</f>
        <v>447347.44268354052</v>
      </c>
      <c r="G18" s="15">
        <f>E18/C18*100</f>
        <v>113.42733754027185</v>
      </c>
      <c r="H18" s="31"/>
    </row>
    <row r="19" spans="1:10" s="12" customFormat="1" x14ac:dyDescent="0.25">
      <c r="A19" s="11"/>
      <c r="B19" s="13"/>
      <c r="C19" s="13"/>
      <c r="D19" s="13"/>
      <c r="E19" s="13"/>
    </row>
    <row r="20" spans="1:10" ht="67.5" customHeight="1" x14ac:dyDescent="0.25">
      <c r="A20" s="84" t="s">
        <v>79</v>
      </c>
      <c r="B20" s="84"/>
      <c r="C20" s="84"/>
      <c r="D20" s="84"/>
      <c r="E20" s="84"/>
      <c r="F20" s="84"/>
      <c r="G20" s="84"/>
      <c r="H20" s="84"/>
      <c r="I20" s="84"/>
      <c r="J20" s="84"/>
    </row>
    <row r="21" spans="1:10" ht="15" x14ac:dyDescent="0.25">
      <c r="A21" s="94"/>
      <c r="B21" s="94"/>
      <c r="C21" s="94"/>
      <c r="D21" s="94"/>
      <c r="E21" s="94"/>
      <c r="F21" s="94"/>
      <c r="G21" s="94"/>
    </row>
    <row r="22" spans="1:10" ht="15" x14ac:dyDescent="0.25">
      <c r="A22" s="38"/>
      <c r="B22" s="38"/>
      <c r="C22" s="38"/>
      <c r="D22" s="38"/>
      <c r="E22" s="38"/>
      <c r="F22" s="38"/>
      <c r="G22" s="38"/>
    </row>
    <row r="23" spans="1:10" x14ac:dyDescent="0.25">
      <c r="E23" s="95"/>
      <c r="F23" s="95"/>
      <c r="G23" s="95"/>
    </row>
    <row r="24" spans="1:10" ht="15.6" x14ac:dyDescent="0.3">
      <c r="A24" s="75" t="s">
        <v>29</v>
      </c>
      <c r="B24" s="75"/>
      <c r="C24" s="75"/>
      <c r="D24" s="75"/>
      <c r="E24" s="75"/>
      <c r="F24" s="75"/>
      <c r="G24" s="75"/>
    </row>
    <row r="25" spans="1:10" ht="15.6" x14ac:dyDescent="0.3">
      <c r="A25" s="75" t="s">
        <v>30</v>
      </c>
      <c r="B25" s="75"/>
      <c r="C25" s="75"/>
      <c r="D25" s="75"/>
      <c r="E25" s="75"/>
      <c r="F25" s="75"/>
      <c r="G25" s="75"/>
    </row>
    <row r="27" spans="1:10" ht="17.25" customHeight="1" x14ac:dyDescent="0.25">
      <c r="A27" s="79" t="s">
        <v>18</v>
      </c>
      <c r="B27" s="85" t="s">
        <v>19</v>
      </c>
      <c r="C27" s="85"/>
      <c r="D27" s="86" t="s">
        <v>20</v>
      </c>
      <c r="E27" s="87"/>
      <c r="F27" s="88" t="s">
        <v>7</v>
      </c>
      <c r="G27" s="89"/>
    </row>
    <row r="28" spans="1:10" ht="27.6" x14ac:dyDescent="0.25">
      <c r="A28" s="80"/>
      <c r="B28" s="2" t="s">
        <v>63</v>
      </c>
      <c r="C28" s="2" t="s">
        <v>21</v>
      </c>
      <c r="D28" s="2" t="s">
        <v>63</v>
      </c>
      <c r="E28" s="2" t="s">
        <v>21</v>
      </c>
      <c r="F28" s="90"/>
      <c r="G28" s="91"/>
    </row>
    <row r="29" spans="1:10" ht="33.75" customHeight="1" x14ac:dyDescent="0.25">
      <c r="A29" s="3" t="s">
        <v>56</v>
      </c>
      <c r="B29" s="92">
        <v>2800</v>
      </c>
      <c r="C29" s="93"/>
      <c r="D29" s="92">
        <f>2082+805</f>
        <v>2887</v>
      </c>
      <c r="E29" s="93"/>
      <c r="F29" s="39" t="s">
        <v>8</v>
      </c>
      <c r="G29" s="39" t="s">
        <v>0</v>
      </c>
    </row>
    <row r="30" spans="1:10" ht="21" customHeight="1" x14ac:dyDescent="0.25">
      <c r="A30" s="7" t="s">
        <v>31</v>
      </c>
      <c r="B30" s="43">
        <f>$B$29*C30/1000</f>
        <v>20146</v>
      </c>
      <c r="C30" s="44">
        <v>7195</v>
      </c>
      <c r="D30" s="43">
        <v>120357.9</v>
      </c>
      <c r="E30" s="44">
        <f>D30/$D$29*1000</f>
        <v>41689.608590232077</v>
      </c>
      <c r="F30" s="6">
        <f t="shared" ref="F30:F35" si="5">E30-C30</f>
        <v>34494.608590232077</v>
      </c>
      <c r="G30" s="45">
        <f t="shared" ref="G30:G35" si="6">E30/C30*100</f>
        <v>579.42471980864593</v>
      </c>
    </row>
    <row r="31" spans="1:10" ht="21" customHeight="1" x14ac:dyDescent="0.25">
      <c r="A31" s="7" t="s">
        <v>32</v>
      </c>
      <c r="B31" s="43">
        <f t="shared" ref="B31:B35" si="7">$B$29*C31/1000</f>
        <v>9707.6</v>
      </c>
      <c r="C31" s="44">
        <v>3467</v>
      </c>
      <c r="D31" s="43">
        <v>54303.8</v>
      </c>
      <c r="E31" s="44">
        <f t="shared" ref="E31:E35" si="8">D31/$D$29*1000</f>
        <v>18809.767925181852</v>
      </c>
      <c r="F31" s="6">
        <f t="shared" si="5"/>
        <v>15342.767925181852</v>
      </c>
      <c r="G31" s="45">
        <f>E31/C31*100</f>
        <v>542.53729233290608</v>
      </c>
      <c r="H31" s="46"/>
    </row>
    <row r="32" spans="1:10" ht="21" customHeight="1" x14ac:dyDescent="0.25">
      <c r="A32" s="7" t="s">
        <v>33</v>
      </c>
      <c r="B32" s="43">
        <f t="shared" si="7"/>
        <v>170730</v>
      </c>
      <c r="C32" s="44">
        <v>60975</v>
      </c>
      <c r="D32" s="5">
        <v>539256.30000000005</v>
      </c>
      <c r="E32" s="44">
        <f t="shared" si="8"/>
        <v>186787.77277450645</v>
      </c>
      <c r="F32" s="6">
        <f t="shared" si="5"/>
        <v>125812.77277450645</v>
      </c>
      <c r="G32" s="45">
        <f t="shared" si="6"/>
        <v>306.33501070029757</v>
      </c>
    </row>
    <row r="33" spans="1:8" ht="21" customHeight="1" x14ac:dyDescent="0.25">
      <c r="A33" s="7" t="s">
        <v>26</v>
      </c>
      <c r="B33" s="43">
        <f t="shared" si="7"/>
        <v>20325.2</v>
      </c>
      <c r="C33" s="44">
        <v>7259</v>
      </c>
      <c r="D33" s="5">
        <v>63947.199999999997</v>
      </c>
      <c r="E33" s="44">
        <f t="shared" si="8"/>
        <v>22150.05195704884</v>
      </c>
      <c r="F33" s="6">
        <f t="shared" si="5"/>
        <v>14891.05195704884</v>
      </c>
      <c r="G33" s="45">
        <f>E33/C33*100</f>
        <v>305.13916458257114</v>
      </c>
    </row>
    <row r="34" spans="1:8" ht="21" customHeight="1" x14ac:dyDescent="0.25">
      <c r="A34" s="7" t="s">
        <v>34</v>
      </c>
      <c r="B34" s="43">
        <f t="shared" si="7"/>
        <v>65069.2</v>
      </c>
      <c r="C34" s="44">
        <v>23239</v>
      </c>
      <c r="D34" s="43">
        <v>3631.15</v>
      </c>
      <c r="E34" s="44">
        <f t="shared" si="8"/>
        <v>1257.7589192933842</v>
      </c>
      <c r="F34" s="6">
        <f t="shared" si="5"/>
        <v>-21981.241080706615</v>
      </c>
      <c r="G34" s="45">
        <f t="shared" si="6"/>
        <v>5.412276428819589</v>
      </c>
    </row>
    <row r="35" spans="1:8" ht="21" customHeight="1" x14ac:dyDescent="0.25">
      <c r="A35" s="7" t="s">
        <v>35</v>
      </c>
      <c r="B35" s="43">
        <f t="shared" si="7"/>
        <v>9545.2000000000007</v>
      </c>
      <c r="C35" s="44">
        <v>3409</v>
      </c>
      <c r="D35" s="43">
        <v>2734.56</v>
      </c>
      <c r="E35" s="44">
        <f t="shared" si="8"/>
        <v>947.19778316591623</v>
      </c>
      <c r="F35" s="6">
        <f t="shared" si="5"/>
        <v>-2461.802216834084</v>
      </c>
      <c r="G35" s="45">
        <f t="shared" si="6"/>
        <v>27.785209245113414</v>
      </c>
    </row>
    <row r="36" spans="1:8" ht="21" customHeight="1" x14ac:dyDescent="0.25">
      <c r="A36" s="14" t="s">
        <v>36</v>
      </c>
      <c r="B36" s="47">
        <f>SUM(B30:B35)</f>
        <v>295523.20000000001</v>
      </c>
      <c r="C36" s="47">
        <f>SUM(C30:C35)</f>
        <v>105544</v>
      </c>
      <c r="D36" s="47">
        <v>784231</v>
      </c>
      <c r="E36" s="47">
        <f>SUM(E30:E35)</f>
        <v>271642.15794942854</v>
      </c>
      <c r="F36" s="47">
        <f>SUM(F30:F35)</f>
        <v>166098.15794942851</v>
      </c>
      <c r="G36" s="15">
        <f>E36/C36*100</f>
        <v>257.37337787977384</v>
      </c>
    </row>
    <row r="37" spans="1:8" x14ac:dyDescent="0.25">
      <c r="A37" s="48"/>
      <c r="B37" s="49"/>
      <c r="C37" s="49"/>
      <c r="D37" s="49"/>
      <c r="E37" s="50"/>
      <c r="F37" s="51"/>
      <c r="G37" s="51"/>
      <c r="H37" s="46"/>
    </row>
    <row r="38" spans="1:8" ht="62.25" customHeight="1" x14ac:dyDescent="0.25">
      <c r="A38" s="84" t="s">
        <v>80</v>
      </c>
      <c r="B38" s="84"/>
      <c r="C38" s="84"/>
      <c r="D38" s="84"/>
      <c r="E38" s="84"/>
      <c r="F38" s="84"/>
      <c r="G38" s="84"/>
    </row>
    <row r="39" spans="1:8" ht="15" x14ac:dyDescent="0.25">
      <c r="A39" s="21"/>
      <c r="B39" s="21"/>
      <c r="C39" s="21"/>
      <c r="D39" s="21"/>
      <c r="E39" s="21"/>
      <c r="F39" s="21"/>
      <c r="G39" s="21"/>
    </row>
  </sheetData>
  <mergeCells count="21">
    <mergeCell ref="A1:G1"/>
    <mergeCell ref="A2:G2"/>
    <mergeCell ref="A4:A5"/>
    <mergeCell ref="B4:C4"/>
    <mergeCell ref="D4:E4"/>
    <mergeCell ref="F4:G5"/>
    <mergeCell ref="H20:J20"/>
    <mergeCell ref="B27:C27"/>
    <mergeCell ref="D27:E27"/>
    <mergeCell ref="F27:G28"/>
    <mergeCell ref="B29:C29"/>
    <mergeCell ref="D29:E29"/>
    <mergeCell ref="A25:G25"/>
    <mergeCell ref="A21:G21"/>
    <mergeCell ref="E23:G23"/>
    <mergeCell ref="A24:G24"/>
    <mergeCell ref="B6:C6"/>
    <mergeCell ref="D6:E6"/>
    <mergeCell ref="A20:G20"/>
    <mergeCell ref="A38:G38"/>
    <mergeCell ref="A27:A28"/>
  </mergeCells>
  <pageMargins left="0.19685039370078741" right="0.19685039370078741" top="0.31496062992125984" bottom="0.1968503937007874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zoomScaleNormal="100" zoomScaleSheetLayoutView="100" workbookViewId="0">
      <selection activeCell="A14" sqref="A14:E14"/>
    </sheetView>
  </sheetViews>
  <sheetFormatPr defaultColWidth="9.109375" defaultRowHeight="13.8" x14ac:dyDescent="0.25"/>
  <cols>
    <col min="1" max="1" width="52.109375" style="1" customWidth="1"/>
    <col min="2" max="2" width="11.5546875" style="1" customWidth="1"/>
    <col min="3" max="3" width="11.109375" style="1" customWidth="1"/>
    <col min="4" max="4" width="10.88671875" style="1" bestFit="1" customWidth="1"/>
    <col min="5" max="5" width="10.5546875" style="1" customWidth="1"/>
    <col min="6" max="6" width="9.88671875" style="1" bestFit="1" customWidth="1"/>
    <col min="7" max="16384" width="9.109375" style="1"/>
  </cols>
  <sheetData>
    <row r="1" spans="1:5" x14ac:dyDescent="0.25">
      <c r="A1" s="78" t="s">
        <v>37</v>
      </c>
      <c r="B1" s="78"/>
      <c r="C1" s="78"/>
      <c r="D1" s="78"/>
      <c r="E1" s="78"/>
    </row>
    <row r="2" spans="1:5" x14ac:dyDescent="0.25">
      <c r="B2" s="36"/>
      <c r="C2" s="36"/>
      <c r="D2" s="36"/>
      <c r="E2" s="36"/>
    </row>
    <row r="3" spans="1:5" x14ac:dyDescent="0.25">
      <c r="A3" s="100" t="s">
        <v>18</v>
      </c>
      <c r="B3" s="97" t="s">
        <v>38</v>
      </c>
      <c r="C3" s="79" t="s">
        <v>6</v>
      </c>
      <c r="D3" s="76" t="s">
        <v>7</v>
      </c>
      <c r="E3" s="77"/>
    </row>
    <row r="4" spans="1:5" x14ac:dyDescent="0.25">
      <c r="A4" s="101"/>
      <c r="B4" s="97"/>
      <c r="C4" s="102"/>
      <c r="D4" s="37" t="s">
        <v>8</v>
      </c>
      <c r="E4" s="37" t="s">
        <v>0</v>
      </c>
    </row>
    <row r="5" spans="1:5" ht="22.2" customHeight="1" x14ac:dyDescent="0.25">
      <c r="A5" s="29" t="s">
        <v>70</v>
      </c>
      <c r="B5" s="17">
        <v>7294</v>
      </c>
      <c r="C5" s="17">
        <v>11463.3</v>
      </c>
      <c r="D5" s="17">
        <f>C5-B5</f>
        <v>4169.2999999999993</v>
      </c>
      <c r="E5" s="17">
        <f>C5/B5*100</f>
        <v>157.16068001096789</v>
      </c>
    </row>
    <row r="6" spans="1:5" ht="21" customHeight="1" x14ac:dyDescent="0.25">
      <c r="A6" s="7" t="s">
        <v>33</v>
      </c>
      <c r="B6" s="17">
        <v>964213</v>
      </c>
      <c r="C6" s="17">
        <f>1772049/1.1</f>
        <v>1610953.6363636362</v>
      </c>
      <c r="D6" s="17">
        <f t="shared" ref="D6:D11" si="0">C6-B6</f>
        <v>646740.63636363624</v>
      </c>
      <c r="E6" s="17">
        <f t="shared" ref="E6:E11" si="1">C6/B6*100</f>
        <v>167.07445723752286</v>
      </c>
    </row>
    <row r="7" spans="1:5" ht="21" customHeight="1" x14ac:dyDescent="0.25">
      <c r="A7" s="16" t="s">
        <v>39</v>
      </c>
      <c r="B7" s="17">
        <v>115705</v>
      </c>
      <c r="C7" s="17">
        <f>1772049-1610954</f>
        <v>161095</v>
      </c>
      <c r="D7" s="17">
        <f t="shared" si="0"/>
        <v>45390</v>
      </c>
      <c r="E7" s="17">
        <f t="shared" si="1"/>
        <v>139.22907393803206</v>
      </c>
    </row>
    <row r="8" spans="1:5" ht="21" customHeight="1" x14ac:dyDescent="0.25">
      <c r="A8" s="16" t="s">
        <v>69</v>
      </c>
      <c r="B8" s="17">
        <v>6896</v>
      </c>
      <c r="C8" s="17">
        <f>27871.7-10650</f>
        <v>17221.7</v>
      </c>
      <c r="D8" s="17">
        <f t="shared" si="0"/>
        <v>10325.700000000001</v>
      </c>
      <c r="E8" s="17">
        <f t="shared" si="1"/>
        <v>249.73462877030164</v>
      </c>
    </row>
    <row r="9" spans="1:5" ht="21" customHeight="1" x14ac:dyDescent="0.25">
      <c r="A9" s="16" t="s">
        <v>40</v>
      </c>
      <c r="B9" s="17">
        <v>9988</v>
      </c>
      <c r="C9" s="34">
        <v>19462.599999999999</v>
      </c>
      <c r="D9" s="17">
        <f t="shared" si="0"/>
        <v>9474.5999999999985</v>
      </c>
      <c r="E9" s="17">
        <f t="shared" si="1"/>
        <v>194.85983179815778</v>
      </c>
    </row>
    <row r="10" spans="1:5" ht="21" customHeight="1" x14ac:dyDescent="0.25">
      <c r="A10" s="16" t="s">
        <v>41</v>
      </c>
      <c r="B10" s="17">
        <v>5858</v>
      </c>
      <c r="C10" s="17">
        <v>29914.67</v>
      </c>
      <c r="D10" s="17">
        <f t="shared" si="0"/>
        <v>24056.67</v>
      </c>
      <c r="E10" s="17">
        <f t="shared" si="1"/>
        <v>510.6635370433595</v>
      </c>
    </row>
    <row r="11" spans="1:5" ht="21" customHeight="1" x14ac:dyDescent="0.25">
      <c r="A11" s="16" t="s">
        <v>35</v>
      </c>
      <c r="B11" s="17">
        <v>10929</v>
      </c>
      <c r="C11" s="17">
        <v>10651</v>
      </c>
      <c r="D11" s="17">
        <f t="shared" si="0"/>
        <v>-278</v>
      </c>
      <c r="E11" s="17">
        <f t="shared" si="1"/>
        <v>97.456308902918849</v>
      </c>
    </row>
    <row r="12" spans="1:5" ht="21" customHeight="1" x14ac:dyDescent="0.25">
      <c r="A12" s="14" t="s">
        <v>42</v>
      </c>
      <c r="B12" s="18">
        <f t="shared" ref="B12:D12" si="2">SUM(B5:B11)</f>
        <v>1120883</v>
      </c>
      <c r="C12" s="18">
        <f t="shared" si="2"/>
        <v>1860761.9063636363</v>
      </c>
      <c r="D12" s="18">
        <f t="shared" si="2"/>
        <v>739878.90636363626</v>
      </c>
      <c r="E12" s="18">
        <f>C12/B12*100</f>
        <v>166.00857594982136</v>
      </c>
    </row>
    <row r="13" spans="1:5" ht="14.25" customHeight="1" x14ac:dyDescent="0.25">
      <c r="B13" s="19"/>
      <c r="C13" s="41"/>
      <c r="D13" s="19"/>
      <c r="E13" s="20"/>
    </row>
    <row r="14" spans="1:5" ht="42.6" customHeight="1" x14ac:dyDescent="0.25">
      <c r="A14" s="98" t="s">
        <v>78</v>
      </c>
      <c r="B14" s="98"/>
      <c r="C14" s="98"/>
      <c r="D14" s="98"/>
      <c r="E14" s="98"/>
    </row>
    <row r="15" spans="1:5" ht="15" x14ac:dyDescent="0.25">
      <c r="A15" s="21"/>
      <c r="B15" s="21"/>
      <c r="C15" s="21"/>
      <c r="D15" s="21"/>
      <c r="E15" s="21"/>
    </row>
    <row r="16" spans="1:5" ht="15" x14ac:dyDescent="0.25">
      <c r="A16" s="21"/>
      <c r="B16" s="21"/>
      <c r="C16" s="21"/>
      <c r="D16" s="21"/>
      <c r="E16" s="21"/>
    </row>
    <row r="17" spans="1:5" ht="15" x14ac:dyDescent="0.25">
      <c r="A17" s="21"/>
      <c r="B17" s="21"/>
      <c r="C17" s="21"/>
      <c r="D17" s="21"/>
      <c r="E17" s="21"/>
    </row>
    <row r="18" spans="1:5" ht="15" x14ac:dyDescent="0.25">
      <c r="A18" s="21"/>
      <c r="B18" s="21"/>
      <c r="C18" s="21"/>
      <c r="D18" s="21"/>
      <c r="E18" s="21"/>
    </row>
    <row r="19" spans="1:5" x14ac:dyDescent="0.25">
      <c r="A19" s="96" t="s">
        <v>64</v>
      </c>
      <c r="B19" s="96"/>
      <c r="C19" s="96"/>
      <c r="D19" s="96"/>
      <c r="E19" s="96"/>
    </row>
    <row r="21" spans="1:5" ht="18" customHeight="1" x14ac:dyDescent="0.25">
      <c r="A21" s="97" t="s">
        <v>43</v>
      </c>
      <c r="B21" s="97" t="s">
        <v>38</v>
      </c>
      <c r="C21" s="97" t="s">
        <v>6</v>
      </c>
      <c r="D21" s="97" t="s">
        <v>7</v>
      </c>
      <c r="E21" s="97"/>
    </row>
    <row r="22" spans="1:5" x14ac:dyDescent="0.25">
      <c r="A22" s="97"/>
      <c r="B22" s="97"/>
      <c r="C22" s="97"/>
      <c r="D22" s="37" t="s">
        <v>8</v>
      </c>
      <c r="E22" s="37" t="s">
        <v>0</v>
      </c>
    </row>
    <row r="23" spans="1:5" ht="27.75" customHeight="1" x14ac:dyDescent="0.25">
      <c r="A23" s="22" t="s">
        <v>66</v>
      </c>
      <c r="B23" s="32">
        <v>49297510</v>
      </c>
      <c r="C23" s="32">
        <v>85137722</v>
      </c>
      <c r="D23" s="17">
        <f t="shared" ref="D23:D24" si="3">C23-B23</f>
        <v>35840212</v>
      </c>
      <c r="E23" s="17">
        <f>C23/B23*100</f>
        <v>172.70187074357307</v>
      </c>
    </row>
    <row r="24" spans="1:5" ht="27.6" customHeight="1" x14ac:dyDescent="0.25">
      <c r="A24" s="22" t="s">
        <v>65</v>
      </c>
      <c r="B24" s="32">
        <v>49468506</v>
      </c>
      <c r="C24" s="32">
        <v>89019378</v>
      </c>
      <c r="D24" s="17">
        <f t="shared" si="3"/>
        <v>39550872</v>
      </c>
      <c r="E24" s="17">
        <f t="shared" ref="E24" si="4">C24/B24*100</f>
        <v>179.9516201277637</v>
      </c>
    </row>
    <row r="25" spans="1:5" ht="21" customHeight="1" x14ac:dyDescent="0.25">
      <c r="A25" s="22" t="s">
        <v>44</v>
      </c>
      <c r="B25" s="18">
        <f>B23-B24</f>
        <v>-170996</v>
      </c>
      <c r="C25" s="37">
        <f>C23-C24</f>
        <v>-3881656</v>
      </c>
      <c r="D25" s="18">
        <f>C25-B25</f>
        <v>-3710660</v>
      </c>
      <c r="E25" s="18">
        <f>C25/B25*100</f>
        <v>2270.0273690612648</v>
      </c>
    </row>
    <row r="26" spans="1:5" ht="21" customHeight="1" x14ac:dyDescent="0.25">
      <c r="A26" s="22" t="s">
        <v>45</v>
      </c>
      <c r="B26" s="35">
        <f>B28+B29+B30</f>
        <v>2480644.5</v>
      </c>
      <c r="C26" s="35">
        <f>C28+C29+C30</f>
        <v>6481515</v>
      </c>
      <c r="D26" s="18">
        <f t="shared" ref="D26:D36" si="5">C26-B26</f>
        <v>4000870.5</v>
      </c>
      <c r="E26" s="18">
        <f t="shared" ref="E26:E35" si="6">C26/B26*100</f>
        <v>261.28350918481067</v>
      </c>
    </row>
    <row r="27" spans="1:5" ht="14.25" customHeight="1" x14ac:dyDescent="0.25">
      <c r="A27" s="22" t="s">
        <v>58</v>
      </c>
      <c r="B27" s="17"/>
      <c r="C27" s="32"/>
      <c r="D27" s="17"/>
      <c r="E27" s="17"/>
    </row>
    <row r="28" spans="1:5" ht="21" customHeight="1" x14ac:dyDescent="0.25">
      <c r="A28" s="22" t="s">
        <v>46</v>
      </c>
      <c r="B28" s="17">
        <v>122270.5</v>
      </c>
      <c r="C28" s="32">
        <v>106103</v>
      </c>
      <c r="D28" s="17">
        <f t="shared" si="5"/>
        <v>-16167.5</v>
      </c>
      <c r="E28" s="17">
        <f t="shared" si="6"/>
        <v>86.777268433514223</v>
      </c>
    </row>
    <row r="29" spans="1:5" ht="21" customHeight="1" x14ac:dyDescent="0.25">
      <c r="A29" s="22" t="s">
        <v>47</v>
      </c>
      <c r="B29" s="17">
        <v>1120883</v>
      </c>
      <c r="C29" s="32">
        <v>1860762</v>
      </c>
      <c r="D29" s="17">
        <f t="shared" si="5"/>
        <v>739879</v>
      </c>
      <c r="E29" s="17">
        <f t="shared" si="6"/>
        <v>166.0085843036249</v>
      </c>
    </row>
    <row r="30" spans="1:5" ht="21" customHeight="1" x14ac:dyDescent="0.25">
      <c r="A30" s="22" t="s">
        <v>48</v>
      </c>
      <c r="B30" s="17">
        <v>1237491</v>
      </c>
      <c r="C30" s="32">
        <v>4514650</v>
      </c>
      <c r="D30" s="17">
        <f t="shared" si="5"/>
        <v>3277159</v>
      </c>
      <c r="E30" s="17">
        <f t="shared" si="6"/>
        <v>364.82285527733131</v>
      </c>
    </row>
    <row r="31" spans="1:5" ht="21" customHeight="1" x14ac:dyDescent="0.25">
      <c r="A31" s="22" t="s">
        <v>59</v>
      </c>
      <c r="B31" s="17">
        <v>0</v>
      </c>
      <c r="C31" s="32">
        <v>550885</v>
      </c>
      <c r="D31" s="17">
        <f t="shared" si="5"/>
        <v>550885</v>
      </c>
      <c r="E31" s="17">
        <v>0</v>
      </c>
    </row>
    <row r="32" spans="1:5" ht="21" customHeight="1" x14ac:dyDescent="0.25">
      <c r="A32" s="22" t="s">
        <v>49</v>
      </c>
      <c r="B32" s="18">
        <f>B23-B24-B26+B31</f>
        <v>-2651640.5</v>
      </c>
      <c r="C32" s="18">
        <f>C23-C24-C26+C31</f>
        <v>-9812286</v>
      </c>
      <c r="D32" s="18">
        <f>C32-B32</f>
        <v>-7160645.5</v>
      </c>
      <c r="E32" s="18">
        <f t="shared" si="6"/>
        <v>370.04586406038072</v>
      </c>
    </row>
    <row r="33" spans="1:6" ht="21" customHeight="1" x14ac:dyDescent="0.25">
      <c r="A33" s="22" t="s">
        <v>50</v>
      </c>
      <c r="B33" s="17">
        <v>0</v>
      </c>
      <c r="C33" s="32">
        <v>0</v>
      </c>
      <c r="D33" s="17">
        <f t="shared" si="5"/>
        <v>0</v>
      </c>
      <c r="E33" s="17">
        <v>100</v>
      </c>
    </row>
    <row r="34" spans="1:6" ht="21" customHeight="1" x14ac:dyDescent="0.25">
      <c r="A34" s="22" t="s">
        <v>51</v>
      </c>
      <c r="B34" s="17">
        <v>2140</v>
      </c>
      <c r="C34" s="32">
        <v>899856</v>
      </c>
      <c r="D34" s="17">
        <f t="shared" si="5"/>
        <v>897716</v>
      </c>
      <c r="E34" s="17">
        <f t="shared" si="6"/>
        <v>42049.345794392524</v>
      </c>
    </row>
    <row r="35" spans="1:6" s="24" customFormat="1" ht="21" customHeight="1" x14ac:dyDescent="0.25">
      <c r="A35" s="23" t="s">
        <v>52</v>
      </c>
      <c r="B35" s="35">
        <f>B32+B33-B34</f>
        <v>-2653780.5</v>
      </c>
      <c r="C35" s="37">
        <f>C32+C33-C34</f>
        <v>-10712142</v>
      </c>
      <c r="D35" s="18">
        <f t="shared" si="5"/>
        <v>-8058361.5</v>
      </c>
      <c r="E35" s="18">
        <f t="shared" si="6"/>
        <v>403.6559165311524</v>
      </c>
      <c r="F35" s="1"/>
    </row>
    <row r="36" spans="1:6" ht="21" customHeight="1" x14ac:dyDescent="0.25">
      <c r="A36" s="22" t="s">
        <v>53</v>
      </c>
      <c r="B36" s="32">
        <v>0</v>
      </c>
      <c r="C36" s="32">
        <v>0</v>
      </c>
      <c r="D36" s="17">
        <f t="shared" si="5"/>
        <v>0</v>
      </c>
      <c r="E36" s="17">
        <v>0</v>
      </c>
    </row>
    <row r="37" spans="1:6" s="24" customFormat="1" ht="21" customHeight="1" x14ac:dyDescent="0.25">
      <c r="A37" s="23" t="s">
        <v>54</v>
      </c>
      <c r="B37" s="40">
        <f>B35</f>
        <v>-2653780.5</v>
      </c>
      <c r="C37" s="37">
        <f>C35</f>
        <v>-10712142</v>
      </c>
      <c r="D37" s="18">
        <f t="shared" ref="D37" si="7">C37-B37</f>
        <v>-8058361.5</v>
      </c>
      <c r="E37" s="18">
        <f t="shared" ref="E37" si="8">C37/B37*100</f>
        <v>403.6559165311524</v>
      </c>
      <c r="F37" s="1"/>
    </row>
    <row r="38" spans="1:6" x14ac:dyDescent="0.25">
      <c r="A38" s="25"/>
      <c r="B38" s="26"/>
      <c r="C38" s="26"/>
      <c r="D38" s="26"/>
      <c r="E38" s="27"/>
    </row>
    <row r="39" spans="1:6" ht="45.75" customHeight="1" x14ac:dyDescent="0.25">
      <c r="A39" s="99" t="s">
        <v>77</v>
      </c>
      <c r="B39" s="99"/>
      <c r="C39" s="99"/>
      <c r="D39" s="99"/>
      <c r="E39" s="99"/>
    </row>
    <row r="41" spans="1:6" ht="15.6" x14ac:dyDescent="0.3">
      <c r="A41" s="28" t="s">
        <v>55</v>
      </c>
      <c r="B41" s="28"/>
      <c r="C41" s="75" t="s">
        <v>62</v>
      </c>
      <c r="D41" s="75"/>
      <c r="E41" s="75"/>
    </row>
  </sheetData>
  <mergeCells count="13">
    <mergeCell ref="A1:E1"/>
    <mergeCell ref="A3:A4"/>
    <mergeCell ref="B3:B4"/>
    <mergeCell ref="C3:C4"/>
    <mergeCell ref="D3:E3"/>
    <mergeCell ref="A14:E14"/>
    <mergeCell ref="C41:E41"/>
    <mergeCell ref="A19:E19"/>
    <mergeCell ref="A21:A22"/>
    <mergeCell ref="B21:B22"/>
    <mergeCell ref="C21:C22"/>
    <mergeCell ref="D21:E21"/>
    <mergeCell ref="A39:E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BERDIYOR</cp:lastModifiedBy>
  <cp:lastPrinted>2024-05-06T09:15:56Z</cp:lastPrinted>
  <dcterms:created xsi:type="dcterms:W3CDTF">2020-06-03T08:46:25Z</dcterms:created>
  <dcterms:modified xsi:type="dcterms:W3CDTF">2024-08-18T09:08:37Z</dcterms:modified>
</cp:coreProperties>
</file>